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ник\ПРОЕКТ БЮДЖЕТА 2025\Бюджет МР Тере-Хольского кожууна на 2025-2027 гг\"/>
    </mc:Choice>
  </mc:AlternateContent>
  <xr:revisionPtr revIDLastSave="0" documentId="13_ncr:1_{4E834FDF-DC1E-44CA-AE80-C77ECF69B538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ПРОГНОЗ КБ 2024 г.кон" sheetId="3" r:id="rId1"/>
    <sheet name="ПРОГНОЗ КБ 2024 г.Консол" sheetId="6" r:id="rId2"/>
    <sheet name="ПРОГНОЗ КБ 2024 г.кож" sheetId="4" r:id="rId3"/>
    <sheet name="Лист1" sheetId="5" r:id="rId4"/>
  </sheets>
  <definedNames>
    <definedName name="_xlnm.Print_Titles" localSheetId="2">'ПРОГНОЗ КБ 2024 г.кож'!$4:$5</definedName>
    <definedName name="_xlnm.Print_Titles" localSheetId="0">'ПРОГНОЗ КБ 2024 г.кон'!$4:$5</definedName>
    <definedName name="_xlnm.Print_Titles" localSheetId="1">'ПРОГНОЗ КБ 2024 г.Консол'!$4:$5</definedName>
    <definedName name="_xlnm.Print_Area" localSheetId="2">'ПРОГНОЗ КБ 2024 г.кож'!$A$1:$L$93</definedName>
    <definedName name="_xlnm.Print_Area" localSheetId="0">'ПРОГНОЗ КБ 2024 г.кон'!$A$1:$J$92</definedName>
    <definedName name="_xlnm.Print_Area" localSheetId="1">'ПРОГНОЗ КБ 2024 г.Консол'!$A$1:$L$93</definedName>
  </definedNames>
  <calcPr calcId="191029" calcOnSave="0"/>
</workbook>
</file>

<file path=xl/calcChain.xml><?xml version="1.0" encoding="utf-8"?>
<calcChain xmlns="http://schemas.openxmlformats.org/spreadsheetml/2006/main">
  <c r="E78" i="6" l="1"/>
  <c r="G78" i="6"/>
  <c r="I78" i="6"/>
  <c r="I85" i="6"/>
  <c r="I82" i="6"/>
  <c r="I81" i="6"/>
  <c r="I80" i="6"/>
  <c r="G81" i="6"/>
  <c r="G85" i="6"/>
  <c r="G82" i="6"/>
  <c r="G80" i="6"/>
  <c r="E85" i="6"/>
  <c r="E82" i="6"/>
  <c r="E81" i="6"/>
  <c r="E80" i="6"/>
  <c r="E84" i="3"/>
  <c r="E81" i="3"/>
  <c r="E80" i="3"/>
  <c r="E79" i="3"/>
  <c r="E77" i="3"/>
  <c r="I11" i="5"/>
  <c r="I22" i="5"/>
  <c r="H22" i="5"/>
  <c r="G25" i="5"/>
  <c r="H11" i="5"/>
  <c r="H16" i="5"/>
  <c r="I16" i="5" s="1"/>
  <c r="B13" i="5"/>
  <c r="B15" i="5" s="1"/>
  <c r="B12" i="5"/>
  <c r="G11" i="5"/>
  <c r="K17" i="5" s="1"/>
  <c r="G16" i="5"/>
  <c r="E74" i="4" l="1"/>
  <c r="E93" i="6"/>
  <c r="E93" i="4"/>
  <c r="E91" i="6" l="1"/>
  <c r="C66" i="6"/>
  <c r="B66" i="6"/>
  <c r="J32" i="6"/>
  <c r="H32" i="6"/>
  <c r="F32" i="6"/>
  <c r="D32" i="6"/>
  <c r="J31" i="6"/>
  <c r="H31" i="6"/>
  <c r="F31" i="6"/>
  <c r="D31" i="6"/>
  <c r="J30" i="6"/>
  <c r="H30" i="6"/>
  <c r="F30" i="6"/>
  <c r="D30" i="6"/>
  <c r="J29" i="6"/>
  <c r="H29" i="6"/>
  <c r="F29" i="6"/>
  <c r="D29" i="6"/>
  <c r="I28" i="6"/>
  <c r="J28" i="6" s="1"/>
  <c r="H28" i="6"/>
  <c r="G28" i="6"/>
  <c r="E28" i="6"/>
  <c r="F28" i="6" s="1"/>
  <c r="D28" i="6"/>
  <c r="C28" i="6"/>
  <c r="B28" i="6"/>
  <c r="J27" i="6"/>
  <c r="H27" i="6"/>
  <c r="F27" i="6"/>
  <c r="D27" i="6"/>
  <c r="J26" i="6"/>
  <c r="H26" i="6"/>
  <c r="F26" i="6"/>
  <c r="D26" i="6"/>
  <c r="I25" i="6"/>
  <c r="I24" i="6" s="1"/>
  <c r="G25" i="6"/>
  <c r="H25" i="6" s="1"/>
  <c r="E25" i="6"/>
  <c r="E24" i="6" s="1"/>
  <c r="C25" i="6"/>
  <c r="D25" i="6" s="1"/>
  <c r="B25" i="6"/>
  <c r="B24" i="6"/>
  <c r="J23" i="6"/>
  <c r="H23" i="6"/>
  <c r="F23" i="6"/>
  <c r="D23" i="6"/>
  <c r="J22" i="6"/>
  <c r="H22" i="6"/>
  <c r="F22" i="6"/>
  <c r="J21" i="6"/>
  <c r="H21" i="6"/>
  <c r="F21" i="6"/>
  <c r="D21" i="6"/>
  <c r="J19" i="6"/>
  <c r="I19" i="6"/>
  <c r="H19" i="6"/>
  <c r="G19" i="6"/>
  <c r="F19" i="6"/>
  <c r="E19" i="6"/>
  <c r="C19" i="6"/>
  <c r="B19" i="6"/>
  <c r="D19" i="6" s="1"/>
  <c r="J18" i="6"/>
  <c r="H18" i="6"/>
  <c r="F18" i="6"/>
  <c r="J17" i="6"/>
  <c r="H17" i="6"/>
  <c r="F17" i="6"/>
  <c r="D17" i="6"/>
  <c r="J16" i="6"/>
  <c r="J14" i="6" s="1"/>
  <c r="H16" i="6"/>
  <c r="F16" i="6"/>
  <c r="D16" i="6"/>
  <c r="D15" i="6"/>
  <c r="I14" i="6"/>
  <c r="H14" i="6"/>
  <c r="G14" i="6"/>
  <c r="E14" i="6"/>
  <c r="F14" i="6" s="1"/>
  <c r="C14" i="6"/>
  <c r="D14" i="6" s="1"/>
  <c r="B14" i="6"/>
  <c r="J12" i="6"/>
  <c r="H12" i="6"/>
  <c r="F12" i="6"/>
  <c r="D12" i="6"/>
  <c r="J11" i="6"/>
  <c r="I11" i="6"/>
  <c r="H11" i="6"/>
  <c r="G11" i="6"/>
  <c r="F11" i="6"/>
  <c r="E11" i="6"/>
  <c r="D11" i="6"/>
  <c r="C11" i="6"/>
  <c r="B11" i="6"/>
  <c r="J10" i="6"/>
  <c r="H10" i="6"/>
  <c r="F10" i="6"/>
  <c r="D10" i="6"/>
  <c r="H9" i="6"/>
  <c r="J8" i="6"/>
  <c r="I8" i="6"/>
  <c r="H8" i="6"/>
  <c r="G8" i="6"/>
  <c r="F8" i="6"/>
  <c r="E8" i="6"/>
  <c r="C8" i="6"/>
  <c r="B8" i="6"/>
  <c r="B7" i="6" s="1"/>
  <c r="B33" i="6" s="1"/>
  <c r="I7" i="6"/>
  <c r="J7" i="6" s="1"/>
  <c r="G7" i="6"/>
  <c r="H7" i="6" s="1"/>
  <c r="E7" i="6"/>
  <c r="F7" i="6" s="1"/>
  <c r="C7" i="6"/>
  <c r="I93" i="6"/>
  <c r="G93" i="6"/>
  <c r="C93" i="6"/>
  <c r="B93" i="6"/>
  <c r="F91" i="6"/>
  <c r="D89" i="6"/>
  <c r="D88" i="6"/>
  <c r="D87" i="6"/>
  <c r="D86" i="6"/>
  <c r="D85" i="6"/>
  <c r="D84" i="6"/>
  <c r="D83" i="6"/>
  <c r="D81" i="6"/>
  <c r="D80" i="6"/>
  <c r="D79" i="6"/>
  <c r="D78" i="6"/>
  <c r="F68" i="6"/>
  <c r="F67" i="6"/>
  <c r="D67" i="6"/>
  <c r="D66" i="6" s="1"/>
  <c r="J66" i="6"/>
  <c r="I66" i="6"/>
  <c r="H66" i="6"/>
  <c r="H55" i="6" s="1"/>
  <c r="G66" i="6"/>
  <c r="E66" i="6"/>
  <c r="J64" i="6"/>
  <c r="F64" i="6"/>
  <c r="F63" i="6"/>
  <c r="D63" i="6"/>
  <c r="J62" i="6"/>
  <c r="F62" i="6"/>
  <c r="D62" i="6"/>
  <c r="J61" i="6"/>
  <c r="F61" i="6"/>
  <c r="D61" i="6"/>
  <c r="D60" i="6"/>
  <c r="J59" i="6"/>
  <c r="H59" i="6"/>
  <c r="F59" i="6"/>
  <c r="D59" i="6"/>
  <c r="J58" i="6"/>
  <c r="H58" i="6"/>
  <c r="F58" i="6"/>
  <c r="D58" i="6"/>
  <c r="J57" i="6"/>
  <c r="F57" i="6"/>
  <c r="D57" i="6"/>
  <c r="J56" i="6"/>
  <c r="H56" i="6"/>
  <c r="F56" i="6"/>
  <c r="D56" i="6"/>
  <c r="J55" i="6"/>
  <c r="I55" i="6"/>
  <c r="G55" i="6"/>
  <c r="F55" i="6"/>
  <c r="E55" i="6"/>
  <c r="C55" i="6"/>
  <c r="D55" i="6" s="1"/>
  <c r="B55" i="6"/>
  <c r="C49" i="6"/>
  <c r="F49" i="6" s="1"/>
  <c r="B49" i="6"/>
  <c r="J47" i="6"/>
  <c r="H47" i="6"/>
  <c r="F47" i="6"/>
  <c r="D47" i="6"/>
  <c r="F45" i="6"/>
  <c r="D45" i="6"/>
  <c r="I44" i="6"/>
  <c r="I43" i="6" s="1"/>
  <c r="H43" i="6"/>
  <c r="G43" i="6"/>
  <c r="F43" i="6"/>
  <c r="E43" i="6"/>
  <c r="C43" i="6"/>
  <c r="D43" i="6" s="1"/>
  <c r="B43" i="6"/>
  <c r="B38" i="6" s="1"/>
  <c r="B37" i="6" s="1"/>
  <c r="J42" i="6"/>
  <c r="H42" i="6"/>
  <c r="F42" i="6"/>
  <c r="D42" i="6"/>
  <c r="J41" i="6"/>
  <c r="H41" i="6"/>
  <c r="F41" i="6"/>
  <c r="D41" i="6"/>
  <c r="I40" i="6"/>
  <c r="J40" i="6" s="1"/>
  <c r="G40" i="6"/>
  <c r="G38" i="6" s="1"/>
  <c r="E40" i="6"/>
  <c r="F40" i="6" s="1"/>
  <c r="C40" i="6"/>
  <c r="C38" i="6" s="1"/>
  <c r="B40" i="6"/>
  <c r="E38" i="6"/>
  <c r="E37" i="6"/>
  <c r="J82" i="4"/>
  <c r="I44" i="4"/>
  <c r="F58" i="4"/>
  <c r="E66" i="4"/>
  <c r="F68" i="4"/>
  <c r="J93" i="6" l="1"/>
  <c r="H93" i="6"/>
  <c r="F93" i="6"/>
  <c r="F38" i="6"/>
  <c r="F66" i="6"/>
  <c r="B72" i="6"/>
  <c r="B74" i="6" s="1"/>
  <c r="G33" i="6"/>
  <c r="H33" i="6" s="1"/>
  <c r="D7" i="6"/>
  <c r="C24" i="6"/>
  <c r="D24" i="6" s="1"/>
  <c r="G24" i="6"/>
  <c r="H24" i="6" s="1"/>
  <c r="F25" i="6"/>
  <c r="J25" i="6"/>
  <c r="D8" i="6"/>
  <c r="E33" i="6"/>
  <c r="I33" i="6"/>
  <c r="J33" i="6" s="1"/>
  <c r="B75" i="6"/>
  <c r="G37" i="6"/>
  <c r="H37" i="6" s="1"/>
  <c r="H38" i="6"/>
  <c r="I38" i="6"/>
  <c r="J43" i="6"/>
  <c r="C37" i="6"/>
  <c r="D38" i="6"/>
  <c r="H40" i="6"/>
  <c r="D49" i="6"/>
  <c r="D40" i="6"/>
  <c r="D37" i="6" l="1"/>
  <c r="C72" i="6"/>
  <c r="J24" i="6"/>
  <c r="C33" i="6"/>
  <c r="D33" i="6" s="1"/>
  <c r="F24" i="6"/>
  <c r="F37" i="6"/>
  <c r="E72" i="6"/>
  <c r="J38" i="6"/>
  <c r="I37" i="6"/>
  <c r="J37" i="6" s="1"/>
  <c r="F33" i="6" l="1"/>
  <c r="F72" i="6"/>
  <c r="E74" i="6"/>
  <c r="E75" i="6"/>
  <c r="G72" i="6"/>
  <c r="I72" i="6"/>
  <c r="H72" i="6" l="1"/>
  <c r="G75" i="6"/>
  <c r="G74" i="6"/>
  <c r="I75" i="6"/>
  <c r="I74" i="6"/>
  <c r="J72" i="6"/>
  <c r="C75" i="6"/>
  <c r="C74" i="6"/>
  <c r="D72" i="6"/>
  <c r="I80" i="3" l="1"/>
  <c r="G80" i="3"/>
  <c r="I86" i="3"/>
  <c r="G86" i="3"/>
  <c r="E86" i="3"/>
  <c r="I77" i="3"/>
  <c r="G77" i="3"/>
  <c r="I84" i="3"/>
  <c r="G84" i="3"/>
  <c r="I81" i="3"/>
  <c r="G81" i="3"/>
  <c r="I79" i="3"/>
  <c r="G79" i="3"/>
  <c r="I18" i="5"/>
  <c r="C93" i="4"/>
  <c r="H9" i="3"/>
  <c r="H10" i="3"/>
  <c r="C74" i="3"/>
  <c r="B74" i="3"/>
  <c r="H18" i="5"/>
  <c r="C12" i="5"/>
  <c r="G71" i="3"/>
  <c r="H20" i="5" l="1"/>
  <c r="L17" i="5"/>
  <c r="E90" i="3"/>
  <c r="C10" i="5"/>
  <c r="C17" i="5" s="1"/>
  <c r="C13" i="5"/>
  <c r="C15" i="5" s="1"/>
  <c r="B10" i="5"/>
  <c r="B17" i="5" s="1"/>
  <c r="M17" i="5"/>
  <c r="H24" i="5"/>
  <c r="I24" i="5"/>
  <c r="G24" i="5"/>
  <c r="D12" i="5"/>
  <c r="D13" i="5"/>
  <c r="D10" i="5"/>
  <c r="D17" i="5" s="1"/>
  <c r="C6" i="5"/>
  <c r="D6" i="5"/>
  <c r="B6" i="5"/>
  <c r="I26" i="5" l="1"/>
  <c r="I25" i="5"/>
  <c r="H26" i="5"/>
  <c r="H27" i="5" s="1"/>
  <c r="H25" i="5"/>
  <c r="D15" i="5"/>
  <c r="G18" i="5"/>
  <c r="I20" i="5"/>
  <c r="I27" i="5" l="1"/>
  <c r="G26" i="5"/>
  <c r="G27" i="5" s="1"/>
  <c r="G20" i="5"/>
  <c r="F77" i="3"/>
  <c r="J32" i="3"/>
  <c r="H32" i="3"/>
  <c r="H22" i="3"/>
  <c r="F32" i="3"/>
  <c r="F22" i="3"/>
  <c r="J50" i="3"/>
  <c r="H50" i="3"/>
  <c r="H90" i="3"/>
  <c r="F90" i="3"/>
  <c r="H88" i="3"/>
  <c r="F88" i="3"/>
  <c r="H87" i="3"/>
  <c r="F87" i="3"/>
  <c r="J86" i="3"/>
  <c r="H86" i="3"/>
  <c r="F86" i="3"/>
  <c r="J85" i="3"/>
  <c r="H85" i="3"/>
  <c r="F85" i="3"/>
  <c r="J84" i="3"/>
  <c r="H84" i="3"/>
  <c r="F84" i="3"/>
  <c r="J83" i="3"/>
  <c r="H83" i="3"/>
  <c r="F83" i="3"/>
  <c r="H82" i="3"/>
  <c r="F82" i="3"/>
  <c r="J81" i="3"/>
  <c r="H81" i="3"/>
  <c r="F81" i="3"/>
  <c r="J80" i="3"/>
  <c r="F80" i="3"/>
  <c r="J79" i="3"/>
  <c r="H79" i="3"/>
  <c r="F79" i="3"/>
  <c r="F78" i="3"/>
  <c r="H77" i="3"/>
  <c r="F68" i="3"/>
  <c r="F67" i="3"/>
  <c r="J66" i="3"/>
  <c r="I66" i="3"/>
  <c r="H66" i="3"/>
  <c r="G66" i="3"/>
  <c r="F66" i="3"/>
  <c r="E66" i="3"/>
  <c r="J64" i="3"/>
  <c r="F64" i="3"/>
  <c r="F63" i="3"/>
  <c r="J62" i="3"/>
  <c r="F62" i="3"/>
  <c r="J61" i="3"/>
  <c r="F61" i="3"/>
  <c r="J59" i="3"/>
  <c r="H59" i="3"/>
  <c r="F59" i="3"/>
  <c r="H58" i="3"/>
  <c r="F58" i="3"/>
  <c r="J57" i="3"/>
  <c r="F57" i="3"/>
  <c r="J56" i="3"/>
  <c r="H56" i="3"/>
  <c r="F56" i="3"/>
  <c r="J55" i="3"/>
  <c r="I55" i="3"/>
  <c r="H55" i="3"/>
  <c r="G55" i="3"/>
  <c r="E55" i="3"/>
  <c r="F49" i="3"/>
  <c r="J47" i="3"/>
  <c r="H47" i="3"/>
  <c r="H43" i="3" s="1"/>
  <c r="F47" i="3"/>
  <c r="F45" i="3"/>
  <c r="I43" i="3"/>
  <c r="J43" i="3" s="1"/>
  <c r="G43" i="3"/>
  <c r="E43" i="3"/>
  <c r="F43" i="3" s="1"/>
  <c r="J42" i="3"/>
  <c r="H42" i="3"/>
  <c r="F42" i="3"/>
  <c r="J41" i="3"/>
  <c r="H41" i="3"/>
  <c r="F41" i="3"/>
  <c r="I40" i="3"/>
  <c r="I38" i="3" s="1"/>
  <c r="G40" i="3"/>
  <c r="H40" i="3" s="1"/>
  <c r="E40" i="3"/>
  <c r="E38" i="3" s="1"/>
  <c r="G38" i="3"/>
  <c r="G37" i="3" s="1"/>
  <c r="J31" i="3"/>
  <c r="H31" i="3"/>
  <c r="F31" i="3"/>
  <c r="J30" i="3"/>
  <c r="H30" i="3"/>
  <c r="F30" i="3"/>
  <c r="J29" i="3"/>
  <c r="H29" i="3"/>
  <c r="F29" i="3"/>
  <c r="I28" i="3"/>
  <c r="G28" i="3"/>
  <c r="J28" i="3" s="1"/>
  <c r="E28" i="3"/>
  <c r="F28" i="3" s="1"/>
  <c r="J27" i="3"/>
  <c r="H27" i="3"/>
  <c r="F27" i="3"/>
  <c r="J26" i="3"/>
  <c r="H26" i="3"/>
  <c r="F26" i="3"/>
  <c r="J25" i="3"/>
  <c r="I25" i="3"/>
  <c r="H25" i="3"/>
  <c r="G25" i="3"/>
  <c r="F25" i="3"/>
  <c r="E25" i="3"/>
  <c r="I24" i="3"/>
  <c r="G24" i="3"/>
  <c r="E24" i="3"/>
  <c r="J23" i="3"/>
  <c r="H23" i="3"/>
  <c r="F23" i="3"/>
  <c r="J22" i="3"/>
  <c r="J21" i="3"/>
  <c r="H21" i="3"/>
  <c r="F21" i="3"/>
  <c r="I19" i="3"/>
  <c r="G19" i="3"/>
  <c r="E19" i="3"/>
  <c r="F19" i="3" s="1"/>
  <c r="J18" i="3"/>
  <c r="H18" i="3"/>
  <c r="F18" i="3"/>
  <c r="J17" i="3"/>
  <c r="H17" i="3"/>
  <c r="F17" i="3"/>
  <c r="J16" i="3"/>
  <c r="H16" i="3"/>
  <c r="H14" i="3" s="1"/>
  <c r="F16" i="3"/>
  <c r="I14" i="3"/>
  <c r="G14" i="3"/>
  <c r="E14" i="3"/>
  <c r="F14" i="3" s="1"/>
  <c r="J12" i="3"/>
  <c r="H12" i="3"/>
  <c r="F12" i="3"/>
  <c r="I11" i="3"/>
  <c r="J11" i="3" s="1"/>
  <c r="G11" i="3"/>
  <c r="H11" i="3" s="1"/>
  <c r="E11" i="3"/>
  <c r="F11" i="3" s="1"/>
  <c r="J10" i="3"/>
  <c r="F10" i="3"/>
  <c r="I8" i="3"/>
  <c r="G8" i="3"/>
  <c r="E8" i="3"/>
  <c r="G93" i="4"/>
  <c r="H41" i="4"/>
  <c r="H42" i="4"/>
  <c r="J77" i="3" l="1"/>
  <c r="H24" i="3"/>
  <c r="J24" i="3"/>
  <c r="J19" i="3"/>
  <c r="I7" i="3"/>
  <c r="I33" i="3" s="1"/>
  <c r="G7" i="3"/>
  <c r="G33" i="3" s="1"/>
  <c r="J14" i="3"/>
  <c r="F24" i="3"/>
  <c r="H28" i="3"/>
  <c r="H19" i="3"/>
  <c r="E7" i="3"/>
  <c r="F7" i="3" s="1"/>
  <c r="H8" i="3"/>
  <c r="J38" i="3"/>
  <c r="I37" i="3"/>
  <c r="J37" i="3" s="1"/>
  <c r="E37" i="3"/>
  <c r="H37" i="3" s="1"/>
  <c r="F8" i="3"/>
  <c r="J8" i="3"/>
  <c r="H38" i="3"/>
  <c r="F40" i="3"/>
  <c r="J40" i="3"/>
  <c r="J7" i="3" l="1"/>
  <c r="H7" i="3"/>
  <c r="E33" i="3"/>
  <c r="F33" i="3" s="1"/>
  <c r="I71" i="3"/>
  <c r="J33" i="3"/>
  <c r="G74" i="3"/>
  <c r="C92" i="3"/>
  <c r="C66" i="3"/>
  <c r="C55" i="3"/>
  <c r="F55" i="3" s="1"/>
  <c r="C49" i="3"/>
  <c r="C43" i="3" s="1"/>
  <c r="D32" i="3"/>
  <c r="D27" i="3"/>
  <c r="C49" i="4"/>
  <c r="C43" i="4" s="1"/>
  <c r="D32" i="4"/>
  <c r="H33" i="3" l="1"/>
  <c r="E71" i="3"/>
  <c r="H71" i="3" s="1"/>
  <c r="J71" i="3"/>
  <c r="I74" i="3"/>
  <c r="I93" i="4"/>
  <c r="B93" i="4"/>
  <c r="J91" i="4"/>
  <c r="H91" i="4"/>
  <c r="F91" i="4"/>
  <c r="D91" i="4"/>
  <c r="H89" i="4"/>
  <c r="F89" i="4"/>
  <c r="D89" i="4"/>
  <c r="H88" i="4"/>
  <c r="F88" i="4"/>
  <c r="D88" i="4"/>
  <c r="J87" i="4"/>
  <c r="H87" i="4"/>
  <c r="D87" i="4"/>
  <c r="F87" i="4"/>
  <c r="J86" i="4"/>
  <c r="H86" i="4"/>
  <c r="F86" i="4"/>
  <c r="D86" i="4"/>
  <c r="J85" i="4"/>
  <c r="H85" i="4"/>
  <c r="F85" i="4"/>
  <c r="D85" i="4"/>
  <c r="J84" i="4"/>
  <c r="H84" i="4"/>
  <c r="F84" i="4"/>
  <c r="H83" i="4"/>
  <c r="F83" i="4"/>
  <c r="D83" i="4"/>
  <c r="H82" i="4"/>
  <c r="F82" i="4"/>
  <c r="J81" i="4"/>
  <c r="F81" i="4"/>
  <c r="D81" i="4"/>
  <c r="J80" i="4"/>
  <c r="H80" i="4"/>
  <c r="F80" i="4"/>
  <c r="D80" i="4"/>
  <c r="F79" i="4"/>
  <c r="D79" i="4"/>
  <c r="J78" i="4"/>
  <c r="H78" i="4"/>
  <c r="F78" i="4"/>
  <c r="D78" i="4"/>
  <c r="F69" i="4"/>
  <c r="F66" i="4" s="1"/>
  <c r="J66" i="4"/>
  <c r="H66" i="4"/>
  <c r="F67" i="4"/>
  <c r="D67" i="4"/>
  <c r="D66" i="4" s="1"/>
  <c r="I66" i="4"/>
  <c r="G66" i="4"/>
  <c r="C66" i="4"/>
  <c r="B66" i="4"/>
  <c r="J64" i="4"/>
  <c r="F64" i="4"/>
  <c r="F63" i="4"/>
  <c r="D63" i="4"/>
  <c r="J62" i="4"/>
  <c r="F62" i="4"/>
  <c r="D62" i="4"/>
  <c r="J61" i="4"/>
  <c r="F61" i="4"/>
  <c r="D61" i="4"/>
  <c r="D60" i="4"/>
  <c r="J59" i="4"/>
  <c r="H59" i="4"/>
  <c r="F59" i="4"/>
  <c r="D59" i="4"/>
  <c r="J58" i="4"/>
  <c r="H58" i="4"/>
  <c r="D58" i="4"/>
  <c r="J57" i="4"/>
  <c r="F57" i="4"/>
  <c r="D57" i="4"/>
  <c r="J56" i="4"/>
  <c r="H56" i="4"/>
  <c r="D56" i="4"/>
  <c r="F56" i="4"/>
  <c r="I55" i="4"/>
  <c r="G55" i="4"/>
  <c r="E55" i="4"/>
  <c r="B55" i="4"/>
  <c r="F49" i="4"/>
  <c r="B49" i="4"/>
  <c r="B43" i="4" s="1"/>
  <c r="D43" i="4" s="1"/>
  <c r="J47" i="4"/>
  <c r="H47" i="4"/>
  <c r="F47" i="4"/>
  <c r="D47" i="4"/>
  <c r="F45" i="4"/>
  <c r="D45" i="4"/>
  <c r="I43" i="4"/>
  <c r="G43" i="4"/>
  <c r="E43" i="4"/>
  <c r="J42" i="4"/>
  <c r="F42" i="4"/>
  <c r="D42" i="4"/>
  <c r="J41" i="4"/>
  <c r="D41" i="4"/>
  <c r="F41" i="4"/>
  <c r="I40" i="4"/>
  <c r="G40" i="4"/>
  <c r="E40" i="4"/>
  <c r="B40" i="4"/>
  <c r="J31" i="4"/>
  <c r="H31" i="4"/>
  <c r="F31" i="4"/>
  <c r="D31" i="4"/>
  <c r="J30" i="4"/>
  <c r="H30" i="4"/>
  <c r="F30" i="4"/>
  <c r="D30" i="4"/>
  <c r="J29" i="4"/>
  <c r="H29" i="4"/>
  <c r="F29" i="4"/>
  <c r="D29" i="4"/>
  <c r="I28" i="4"/>
  <c r="G28" i="4"/>
  <c r="E28" i="4"/>
  <c r="C28" i="4"/>
  <c r="B28" i="4"/>
  <c r="J27" i="4"/>
  <c r="H27" i="4"/>
  <c r="F27" i="4"/>
  <c r="J26" i="4"/>
  <c r="H26" i="4"/>
  <c r="F26" i="4"/>
  <c r="D26" i="4"/>
  <c r="I25" i="4"/>
  <c r="G25" i="4"/>
  <c r="G24" i="4" s="1"/>
  <c r="E25" i="4"/>
  <c r="C25" i="4"/>
  <c r="C24" i="4" s="1"/>
  <c r="B25" i="4"/>
  <c r="J23" i="4"/>
  <c r="H23" i="4"/>
  <c r="F23" i="4"/>
  <c r="D23" i="4"/>
  <c r="J22" i="4"/>
  <c r="J21" i="4"/>
  <c r="H21" i="4"/>
  <c r="F21" i="4"/>
  <c r="D21" i="4"/>
  <c r="I19" i="4"/>
  <c r="G19" i="4"/>
  <c r="E19" i="4"/>
  <c r="C19" i="4"/>
  <c r="B19" i="4"/>
  <c r="J18" i="4"/>
  <c r="H18" i="4"/>
  <c r="F18" i="4"/>
  <c r="J17" i="4"/>
  <c r="H17" i="4"/>
  <c r="F17" i="4"/>
  <c r="D17" i="4"/>
  <c r="J16" i="4"/>
  <c r="H16" i="4"/>
  <c r="F16" i="4"/>
  <c r="D16" i="4"/>
  <c r="D15" i="4"/>
  <c r="I14" i="4"/>
  <c r="G14" i="4"/>
  <c r="E14" i="4"/>
  <c r="C14" i="4"/>
  <c r="B14" i="4"/>
  <c r="J12" i="4"/>
  <c r="H12" i="4"/>
  <c r="F12" i="4"/>
  <c r="D12" i="4"/>
  <c r="I11" i="4"/>
  <c r="G11" i="4"/>
  <c r="E11" i="4"/>
  <c r="C11" i="4"/>
  <c r="F11" i="4" s="1"/>
  <c r="B11" i="4"/>
  <c r="D11" i="4" s="1"/>
  <c r="J10" i="4"/>
  <c r="F10" i="4"/>
  <c r="D10" i="4"/>
  <c r="I8" i="4"/>
  <c r="G8" i="4"/>
  <c r="E8" i="4"/>
  <c r="C8" i="4"/>
  <c r="B8" i="4"/>
  <c r="B7" i="4" s="1"/>
  <c r="D19" i="4" l="1"/>
  <c r="J19" i="4"/>
  <c r="H11" i="4"/>
  <c r="F8" i="4"/>
  <c r="E7" i="4"/>
  <c r="F19" i="4"/>
  <c r="B24" i="4"/>
  <c r="B33" i="4" s="1"/>
  <c r="J11" i="4"/>
  <c r="G7" i="4"/>
  <c r="H19" i="4"/>
  <c r="E74" i="3"/>
  <c r="J93" i="4"/>
  <c r="G38" i="4"/>
  <c r="J55" i="4"/>
  <c r="J43" i="4"/>
  <c r="I38" i="4"/>
  <c r="J40" i="4"/>
  <c r="H40" i="4"/>
  <c r="J28" i="4"/>
  <c r="J25" i="4"/>
  <c r="J14" i="4"/>
  <c r="I7" i="4"/>
  <c r="J7" i="4" s="1"/>
  <c r="J8" i="4"/>
  <c r="H8" i="4"/>
  <c r="H93" i="4"/>
  <c r="E38" i="4"/>
  <c r="E37" i="4" s="1"/>
  <c r="H55" i="4"/>
  <c r="H43" i="4"/>
  <c r="H28" i="4"/>
  <c r="H14" i="4"/>
  <c r="F43" i="4"/>
  <c r="F25" i="4"/>
  <c r="F28" i="4"/>
  <c r="F14" i="4"/>
  <c r="C7" i="4"/>
  <c r="F7" i="4" s="1"/>
  <c r="B38" i="4"/>
  <c r="B37" i="4" s="1"/>
  <c r="D28" i="4"/>
  <c r="D8" i="4"/>
  <c r="H7" i="4"/>
  <c r="G33" i="4"/>
  <c r="D14" i="4"/>
  <c r="E24" i="4"/>
  <c r="F24" i="4" s="1"/>
  <c r="I24" i="4"/>
  <c r="J24" i="4" s="1"/>
  <c r="D25" i="4"/>
  <c r="H25" i="4"/>
  <c r="C40" i="4"/>
  <c r="D49" i="4"/>
  <c r="C55" i="4"/>
  <c r="D84" i="4"/>
  <c r="F93" i="4"/>
  <c r="D24" i="4" l="1"/>
  <c r="G37" i="4"/>
  <c r="H37" i="4" s="1"/>
  <c r="H38" i="4"/>
  <c r="J38" i="4"/>
  <c r="I37" i="4"/>
  <c r="E33" i="4"/>
  <c r="E72" i="4" s="1"/>
  <c r="D7" i="4"/>
  <c r="C33" i="4"/>
  <c r="D33" i="4" s="1"/>
  <c r="B72" i="4"/>
  <c r="B75" i="4" s="1"/>
  <c r="D55" i="4"/>
  <c r="F55" i="4"/>
  <c r="H33" i="4"/>
  <c r="H24" i="4"/>
  <c r="D40" i="4"/>
  <c r="F40" i="4"/>
  <c r="C38" i="4"/>
  <c r="I33" i="4"/>
  <c r="G72" i="4" l="1"/>
  <c r="G74" i="4" s="1"/>
  <c r="J37" i="4"/>
  <c r="F33" i="4"/>
  <c r="B74" i="4"/>
  <c r="E75" i="4"/>
  <c r="C37" i="4"/>
  <c r="D38" i="4"/>
  <c r="F38" i="4"/>
  <c r="H72" i="4"/>
  <c r="I72" i="4"/>
  <c r="I74" i="4" s="1"/>
  <c r="J33" i="4"/>
  <c r="G75" i="4" l="1"/>
  <c r="D37" i="4"/>
  <c r="F37" i="4"/>
  <c r="C72" i="4"/>
  <c r="C74" i="4" s="1"/>
  <c r="I75" i="4"/>
  <c r="J72" i="4"/>
  <c r="C75" i="4" l="1"/>
  <c r="D72" i="4"/>
  <c r="F72" i="4"/>
  <c r="B55" i="3" l="1"/>
  <c r="B66" i="3"/>
  <c r="B49" i="3"/>
  <c r="B43" i="3" l="1"/>
  <c r="D49" i="3"/>
  <c r="C14" i="3"/>
  <c r="B14" i="3"/>
  <c r="D45" i="3" l="1"/>
  <c r="D17" i="3"/>
  <c r="D67" i="3" l="1"/>
  <c r="D66" i="3" s="1"/>
  <c r="D62" i="3"/>
  <c r="D58" i="3"/>
  <c r="C28" i="3" l="1"/>
  <c r="B8" i="3"/>
  <c r="C8" i="3" l="1"/>
  <c r="D77" i="3" l="1"/>
  <c r="B11" i="3"/>
  <c r="B92" i="3"/>
  <c r="D88" i="3"/>
  <c r="D87" i="3"/>
  <c r="D86" i="3"/>
  <c r="D85" i="3"/>
  <c r="D84" i="3"/>
  <c r="D83" i="3"/>
  <c r="D82" i="3"/>
  <c r="D81" i="3"/>
  <c r="D80" i="3"/>
  <c r="D79" i="3"/>
  <c r="D78" i="3"/>
  <c r="I92" i="3"/>
  <c r="I73" i="3" s="1"/>
  <c r="E92" i="3"/>
  <c r="E73" i="3" s="1"/>
  <c r="D63" i="3"/>
  <c r="D61" i="3"/>
  <c r="D60" i="3"/>
  <c r="D59" i="3"/>
  <c r="D56" i="3"/>
  <c r="D42" i="3"/>
  <c r="D41" i="3"/>
  <c r="C40" i="3"/>
  <c r="B40" i="3"/>
  <c r="B38" i="3" s="1"/>
  <c r="D31" i="3"/>
  <c r="D30" i="3"/>
  <c r="D29" i="3"/>
  <c r="B28" i="3"/>
  <c r="D26" i="3"/>
  <c r="C25" i="3"/>
  <c r="C24" i="3" s="1"/>
  <c r="B25" i="3"/>
  <c r="D23" i="3"/>
  <c r="D21" i="3"/>
  <c r="C19" i="3"/>
  <c r="B19" i="3"/>
  <c r="D16" i="3"/>
  <c r="D15" i="3"/>
  <c r="D12" i="3"/>
  <c r="C11" i="3"/>
  <c r="D10" i="3"/>
  <c r="C38" i="3" l="1"/>
  <c r="B7" i="3"/>
  <c r="B24" i="3"/>
  <c r="D25" i="3"/>
  <c r="D11" i="3"/>
  <c r="D40" i="3"/>
  <c r="D14" i="3"/>
  <c r="D28" i="3"/>
  <c r="F92" i="3"/>
  <c r="D19" i="3"/>
  <c r="D8" i="3"/>
  <c r="C7" i="3"/>
  <c r="G92" i="3"/>
  <c r="G73" i="3" s="1"/>
  <c r="D43" i="3"/>
  <c r="C37" i="3" l="1"/>
  <c r="F37" i="3" s="1"/>
  <c r="F38" i="3"/>
  <c r="D38" i="3"/>
  <c r="H92" i="3"/>
  <c r="B33" i="3"/>
  <c r="D24" i="3"/>
  <c r="C33" i="3"/>
  <c r="D7" i="3"/>
  <c r="J92" i="3"/>
  <c r="C71" i="3" l="1"/>
  <c r="D33" i="3"/>
  <c r="C73" i="3" l="1"/>
  <c r="F71" i="3"/>
  <c r="D57" i="3" l="1"/>
  <c r="B37" i="3" l="1"/>
  <c r="B71" i="3" s="1"/>
  <c r="D55" i="3"/>
  <c r="B73" i="3" l="1"/>
  <c r="D37" i="3"/>
  <c r="D71" i="3" l="1"/>
</calcChain>
</file>

<file path=xl/sharedStrings.xml><?xml version="1.0" encoding="utf-8"?>
<sst xmlns="http://schemas.openxmlformats.org/spreadsheetml/2006/main" count="312" uniqueCount="113">
  <si>
    <t>ВСЕГО РАСХОДОВ</t>
  </si>
  <si>
    <t>СРЕДСТВА МАССОВОЙ ИНФОРМАЦИИ</t>
  </si>
  <si>
    <t>ФИЗИЧЕСКАЯ КУЛЬТУРА И СПОРТ</t>
  </si>
  <si>
    <t>СОЦИАЛЬНАЯ ПОЛИТИКА</t>
  </si>
  <si>
    <t>ЗДРАВООХРАНЕНИЕ</t>
  </si>
  <si>
    <t>ОБРАЗОВАНИЕ</t>
  </si>
  <si>
    <t>ОХРАНА ОКРУЖАЮЩЕЙ СРЕДЫ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</si>
  <si>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</si>
  <si>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</si>
  <si>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</si>
  <si>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</si>
  <si>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</si>
  <si>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РАСХОДЫ</t>
  </si>
  <si>
    <t>Доля к собственным доходам, %</t>
  </si>
  <si>
    <t>ДЕФИЦИТ БЮДЖЕТА(-); ПРОФИЦИТ(+)</t>
  </si>
  <si>
    <t>ВСЕГО ДОХОДОВ</t>
  </si>
  <si>
    <t>ПРОЧИЕ БЕЗВОЗМЕЗДНЫЕ ПОСТУПЛЕНИЯ ОТ ДРУГИХ БЮДЖЕТОВ БЮДЖЕТНОЙ СИСТЕМЫ</t>
  </si>
  <si>
    <t>БЕЗВОЗМЕЗДНЫЕ ПОСТУПЛЕНИЯ ОТ ГОС. КОРПОРАЦИЙ</t>
  </si>
  <si>
    <t>Дотации на обеспечение мер по сбалансированности бюджетов</t>
  </si>
  <si>
    <t>Дотации на выравнивание уровня бюджетной обеспеченности</t>
  </si>
  <si>
    <t>Дотации, всего</t>
  </si>
  <si>
    <t xml:space="preserve">   в том числе:</t>
  </si>
  <si>
    <t>БЕЗВОЗМЕЗДНЫЕ ПОСТУПЛЕНИЯ ОТ БЮДЖЕТОВ ДРУГИХ УРОВНЕЙ</t>
  </si>
  <si>
    <t>БЕЗВОЗМЕЗДНЫЕ ПОСТУПЛЕНИЯ</t>
  </si>
  <si>
    <t>ВОЗВРАТ ОСТАТКОВ СУБСИДИЙ И СУБВЕНЦИЙ ПРОШЛЫХ ЛЕТ</t>
  </si>
  <si>
    <t>ДОХОДЫ ОТ ВОЗВРАТА ОСТАТКОВ СУБСИДИЙ И СУБВЕНЦИЙ ПРОШЛЫХ ЛЕТ</t>
  </si>
  <si>
    <t>ИТОГО НАЛОГОВЫЕ И НЕНАЛОГОВЫЕ ДОХОДЫ</t>
  </si>
  <si>
    <t xml:space="preserve"> Прочие неналоговые доходы</t>
  </si>
  <si>
    <t xml:space="preserve"> Штрафы, санкции, возмещение ущерба</t>
  </si>
  <si>
    <t xml:space="preserve"> Доходы от продажи материальных и нематериальных активов</t>
  </si>
  <si>
    <t>Доходы от оказания платных услуг (работ) и компенсации затрат государства</t>
  </si>
  <si>
    <t>Плата за негативное воздействие на окружающую среду</t>
  </si>
  <si>
    <t xml:space="preserve"> Платежи при пользовании природными ресурсами</t>
  </si>
  <si>
    <t xml:space="preserve"> Доходы от использования имущества</t>
  </si>
  <si>
    <t xml:space="preserve">  НЕНАЛОГОВЫЕ ДОХОДЫ</t>
  </si>
  <si>
    <t xml:space="preserve"> Государственная пошлина</t>
  </si>
  <si>
    <t>Земельный налог</t>
  </si>
  <si>
    <t>Налог на имущество организаций</t>
  </si>
  <si>
    <t>Налог на имущество физических лиц</t>
  </si>
  <si>
    <t xml:space="preserve"> Налоги на имущество </t>
  </si>
  <si>
    <t>Налог, взимаемый в связи с применением патентной системы налгообложения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</si>
  <si>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</si>
  <si>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</si>
  <si>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</si>
  <si>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 xml:space="preserve"> Налоги на совокупный доход</t>
  </si>
  <si>
    <t xml:space="preserve">           на алкогольную продукцию</t>
  </si>
  <si>
    <t xml:space="preserve">           акцизы на нефтепродукты</t>
  </si>
  <si>
    <t xml:space="preserve"> Налоги на товары и услуги (работы и услуги), реализуемые на территории РФ</t>
  </si>
  <si>
    <t>Налог на доходы физических лиц</t>
  </si>
  <si>
    <t xml:space="preserve">Налог на прибыль организаций </t>
  </si>
  <si>
    <t xml:space="preserve"> Налоги на прибыль, доходы</t>
  </si>
  <si>
    <t xml:space="preserve"> НАЛОГОВЫЕ ДОХОДЫ</t>
  </si>
  <si>
    <t>ДОХОДЫ</t>
  </si>
  <si>
    <t xml:space="preserve"> ПОКАЗАТЕЛИ </t>
  </si>
  <si>
    <t>(тыс. рублей)</t>
  </si>
  <si>
    <t>ПРОГНОЗ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</si>
  <si>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</si>
  <si>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</si>
  <si>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</si>
  <si>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</si>
  <si>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аренды имущества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</si>
  <si>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</si>
  <si>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</si>
  <si>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>ОСТАТОК НА НАЧАЛО ГОДА</t>
  </si>
  <si>
    <t>% роста к 2023 г.</t>
  </si>
  <si>
    <t>Иные межбюджетные трансферты</t>
  </si>
  <si>
    <t>Прогноз бюджета на 2025 год</t>
  </si>
  <si>
    <t>% роста к 2024 г.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</si>
  <si>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</si>
  <si>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</si>
  <si>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  на реализацию программ формирование современной городской среды</t>
  </si>
  <si>
    <t>Прочие субсидии в том числе:</t>
  </si>
  <si>
    <t>Субсидии местным бюджетам на соофинансирование расходов по содержанию имущества образовательных учреждений.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</si>
  <si>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</si>
  <si>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</si>
  <si>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</si>
  <si>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</si>
  <si>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на оплату жилищно-коммунальных услуг отдельным категориям граждан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</si>
  <si>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</si>
  <si>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Осуществление первичного воинского учета на территориях, где отсутствуют военные комиссариаты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</si>
  <si>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</si>
  <si>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</si>
  <si>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</si>
  <si>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</si>
  <si>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ОБСЛУЖИВАНИЕ ГОСУДАРСТВЕННОГО (МУНИЦИПАЛЬНОГО) ДОЛГА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</si>
  <si>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</si>
  <si>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подготовку проектов межевания земельных участков и на проведение кадастровых работ</t>
  </si>
  <si>
    <t>Прогноз бюджета на 2026 год</t>
  </si>
  <si>
    <t>% роста к 2025 г.</t>
  </si>
  <si>
    <t xml:space="preserve">Субсидий на строительство жилья, предоставляемого по договору найма жилого помещения, в рамках реализации государственной программы "Комплексное развитие сельских территорий" </t>
  </si>
  <si>
    <t>Субсидий местным бюджетам на софинансирование расходов по содержанию имущества образовательных учреждений</t>
  </si>
  <si>
    <t>Отчет 2023 год</t>
  </si>
  <si>
    <t>Уточненный план 2024 год</t>
  </si>
  <si>
    <t>Прогноз бюджета на 2027 год</t>
  </si>
  <si>
    <t>% роста к 2026 г.</t>
  </si>
  <si>
    <t>КОЖУУННОГО БЮДЖЕТА ТЕРЕ-ХОЛЬСКОГО КОЖУУНА РЕСПУБЛИКИ ТЫВА НА 2025 ГОД И НА ПЛАНОВЫЙ ПЕРИОД 2026 И 2027 ГОДОВ ПО КЛАССИФИКАЦИИ ДОХОДОВ  И ФУНКЦИОНАЛЬНОЙ КЛАССИФИКАЦИИ РАСХОДОВ БЮДЖЕТА</t>
  </si>
  <si>
    <t>Субсидии на осуществление расходов на реализации мериприятий лучших народных инициатив</t>
  </si>
  <si>
    <t>Субвенции бюджетам муниципиальных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</si>
  <si>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Шынаа</t>
  </si>
  <si>
    <t>Эми</t>
  </si>
  <si>
    <t xml:space="preserve">Собственные доходы </t>
  </si>
  <si>
    <t>Финансовый помощь</t>
  </si>
  <si>
    <t>0200</t>
  </si>
  <si>
    <t>0500</t>
  </si>
  <si>
    <t>1003</t>
  </si>
  <si>
    <t>0100</t>
  </si>
  <si>
    <t>0800</t>
  </si>
  <si>
    <t>1401</t>
  </si>
  <si>
    <t>исключающие</t>
  </si>
  <si>
    <t>0300</t>
  </si>
  <si>
    <t>0400</t>
  </si>
  <si>
    <t>КОНСОЛИДИРОВАННОГО БЮДЖЕТА ТЕРЕ-ХОЛЬСКОГО КОЖУУНА РЕСПУБЛИКИ ТЫВА НА 2025 ГОД И НА ПЛАНОВЫЙ ПЕРИОД 2026 И 2027 ГОДОВ ПО КЛАССИФИКАЦИИ ДОХОДОВ  И ФУНКЦИОНАЛЬНОЙ КЛАССИФИКАЦИИ РАСХОДОВ БЮДЖЕТА</t>
  </si>
  <si>
    <t xml:space="preserve">иных  межбюджетных  трансфертов на  обеспечение выплат  ежемесячного денежного  вознаграждения  советникам  директоров  по  воспитанию  и взаимодействию  с  детскими общественными  объединениями государственных  общеобразовательных   организаций,  профессиональных образовательных 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</si>
</sst>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_ ;[Red]\-#,##0.0\ "/>
    <numFmt numFmtId="166" formatCode="#,##0.0"/>
    <numFmt numFmtId="167" formatCode="&quot;Да&quot;;&quot;Да&quot;;&quot;Нет&quot;"/>
    <numFmt numFmtId="168" formatCode="_(* #,##0.00_);_(* \(#,##0.00\);_(* &quot;-&quot;??_);_(@_)"/>
    <numFmt numFmtId="169" formatCode="#,##0.00_ ;[Red]\-#,##0.00\ "/>
    <numFmt numFmtId="170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131">
    <xf numFmtId="0" fontId="0" fillId="0" borderId="0"/>
    <xf numFmtId="0" fontId="5" fillId="0" borderId="0"/>
    <xf numFmtId="0" fontId="5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8" fillId="0" borderId="3">
      <alignment horizontal="left" vertical="top"/>
    </xf>
    <xf numFmtId="0" fontId="5" fillId="4" borderId="3">
      <alignment horizontal="left" vertical="top" wrapText="1"/>
    </xf>
    <xf numFmtId="0" fontId="8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49" fontId="12" fillId="10" borderId="3">
      <alignment horizontal="left" vertical="top" wrapText="1"/>
    </xf>
    <xf numFmtId="49" fontId="5" fillId="0" borderId="3">
      <alignment horizontal="left" vertical="top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15" fillId="0" borderId="0"/>
    <xf numFmtId="164" fontId="5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/>
    </xf>
    <xf numFmtId="165" fontId="4" fillId="0" borderId="0" xfId="0" applyNumberFormat="1" applyFont="1" applyAlignment="1">
      <alignment vertical="center" wrapText="1"/>
    </xf>
    <xf numFmtId="0" fontId="4" fillId="0" borderId="0" xfId="1" applyFont="1" applyAlignment="1">
      <alignment vertical="top"/>
    </xf>
    <xf numFmtId="165" fontId="4" fillId="0" borderId="0" xfId="1" applyNumberFormat="1" applyFont="1" applyAlignment="1">
      <alignment vertical="center" wrapText="1"/>
    </xf>
    <xf numFmtId="0" fontId="3" fillId="0" borderId="0" xfId="1" applyFont="1" applyAlignment="1">
      <alignment vertical="top"/>
    </xf>
    <xf numFmtId="165" fontId="3" fillId="0" borderId="0" xfId="1" applyNumberFormat="1" applyFont="1" applyAlignment="1">
      <alignment vertical="center" wrapText="1"/>
    </xf>
    <xf numFmtId="166" fontId="3" fillId="0" borderId="0" xfId="1" applyNumberFormat="1" applyFont="1" applyAlignment="1">
      <alignment vertical="top"/>
    </xf>
    <xf numFmtId="165" fontId="6" fillId="0" borderId="0" xfId="1" applyNumberFormat="1" applyFont="1" applyAlignment="1">
      <alignment vertical="center" wrapText="1"/>
    </xf>
    <xf numFmtId="0" fontId="6" fillId="0" borderId="0" xfId="1" applyFont="1" applyAlignment="1">
      <alignment vertical="top"/>
    </xf>
    <xf numFmtId="166" fontId="3" fillId="0" borderId="0" xfId="0" applyNumberFormat="1" applyFont="1" applyAlignment="1">
      <alignment horizontal="center" vertical="center"/>
    </xf>
    <xf numFmtId="0" fontId="7" fillId="0" borderId="0" xfId="2" applyFont="1"/>
    <xf numFmtId="0" fontId="3" fillId="0" borderId="0" xfId="1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3" fillId="0" borderId="0" xfId="0" applyNumberFormat="1" applyFont="1" applyAlignment="1">
      <alignment vertical="top"/>
    </xf>
    <xf numFmtId="166" fontId="3" fillId="0" borderId="0" xfId="0" applyNumberFormat="1" applyFont="1"/>
    <xf numFmtId="166" fontId="3" fillId="12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65" fontId="3" fillId="13" borderId="0" xfId="0" applyNumberFormat="1" applyFont="1" applyFill="1"/>
    <xf numFmtId="0" fontId="3" fillId="13" borderId="0" xfId="0" applyFont="1" applyFill="1"/>
    <xf numFmtId="166" fontId="3" fillId="12" borderId="0" xfId="0" applyNumberFormat="1" applyFont="1" applyFill="1"/>
    <xf numFmtId="2" fontId="16" fillId="11" borderId="0" xfId="128" applyNumberFormat="1" applyFont="1" applyFill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3" fillId="12" borderId="0" xfId="0" applyNumberFormat="1" applyFont="1" applyFill="1" applyAlignment="1">
      <alignment horizontal="right" vertical="center"/>
    </xf>
    <xf numFmtId="2" fontId="17" fillId="11" borderId="0" xfId="1" applyNumberFormat="1" applyFont="1" applyFill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166" fontId="3" fillId="12" borderId="0" xfId="1" applyNumberFormat="1" applyFont="1" applyFill="1" applyAlignment="1">
      <alignment horizontal="right" vertical="center"/>
    </xf>
    <xf numFmtId="2" fontId="17" fillId="11" borderId="0" xfId="128" applyNumberFormat="1" applyFont="1" applyFill="1" applyAlignment="1">
      <alignment horizontal="right" vertical="center"/>
    </xf>
    <xf numFmtId="2" fontId="17" fillId="0" borderId="0" xfId="1" applyNumberFormat="1" applyFont="1" applyAlignment="1">
      <alignment horizontal="right" vertical="center"/>
    </xf>
    <xf numFmtId="166" fontId="4" fillId="12" borderId="0" xfId="1" applyNumberFormat="1" applyFont="1" applyFill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2" fontId="18" fillId="11" borderId="0" xfId="128" applyNumberFormat="1" applyFont="1" applyFill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166" fontId="4" fillId="12" borderId="0" xfId="0" applyNumberFormat="1" applyFont="1" applyFill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165" fontId="3" fillId="12" borderId="0" xfId="0" applyNumberFormat="1" applyFont="1" applyFill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12" borderId="0" xfId="0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70" fontId="17" fillId="0" borderId="6" xfId="13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66" fontId="14" fillId="13" borderId="0" xfId="0" applyNumberFormat="1" applyFont="1" applyFill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4" fontId="13" fillId="0" borderId="0" xfId="1" applyNumberFormat="1" applyFont="1" applyAlignment="1">
      <alignment horizontal="right" vertical="center" wrapText="1"/>
    </xf>
    <xf numFmtId="166" fontId="13" fillId="0" borderId="0" xfId="1" applyNumberFormat="1" applyFont="1" applyAlignment="1">
      <alignment horizontal="right" vertical="center" wrapText="1"/>
    </xf>
    <xf numFmtId="166" fontId="6" fillId="0" borderId="0" xfId="1" applyNumberFormat="1" applyFont="1" applyAlignment="1">
      <alignment horizontal="right" vertical="center"/>
    </xf>
    <xf numFmtId="2" fontId="19" fillId="11" borderId="0" xfId="128" applyNumberFormat="1" applyFont="1" applyFill="1" applyAlignment="1">
      <alignment horizontal="right" vertical="center"/>
    </xf>
    <xf numFmtId="2" fontId="3" fillId="11" borderId="0" xfId="1" applyNumberFormat="1" applyFont="1" applyFill="1" applyAlignment="1">
      <alignment horizontal="right" vertical="center"/>
    </xf>
    <xf numFmtId="2" fontId="3" fillId="0" borderId="0" xfId="1" applyNumberFormat="1" applyFont="1" applyAlignment="1">
      <alignment horizontal="right" vertical="center"/>
    </xf>
    <xf numFmtId="2" fontId="3" fillId="11" borderId="0" xfId="128" applyNumberFormat="1" applyFont="1" applyFill="1" applyAlignment="1">
      <alignment horizontal="right" vertical="center"/>
    </xf>
    <xf numFmtId="2" fontId="4" fillId="11" borderId="0" xfId="128" applyNumberFormat="1" applyFont="1" applyFill="1" applyAlignment="1">
      <alignment horizontal="right" vertical="center"/>
    </xf>
    <xf numFmtId="0" fontId="20" fillId="0" borderId="0" xfId="0" applyFont="1"/>
    <xf numFmtId="170" fontId="0" fillId="0" borderId="0" xfId="0" applyNumberFormat="1"/>
    <xf numFmtId="170" fontId="20" fillId="0" borderId="0" xfId="0" applyNumberFormat="1" applyFont="1"/>
    <xf numFmtId="49" fontId="0" fillId="0" borderId="0" xfId="0" applyNumberFormat="1"/>
    <xf numFmtId="4" fontId="14" fillId="0" borderId="0" xfId="0" applyNumberFormat="1" applyFont="1" applyAlignment="1">
      <alignment horizontal="right" vertical="center"/>
    </xf>
    <xf numFmtId="165" fontId="17" fillId="0" borderId="0" xfId="26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31">
    <cellStyle name="Данные (редактируемые)" xfId="3" xr:uid="{00000000-0005-0000-0000-000000000000}"/>
    <cellStyle name="Данные (только для чтения)" xfId="4" xr:uid="{00000000-0005-0000-0000-000001000000}"/>
    <cellStyle name="Данные для удаления" xfId="5" xr:uid="{00000000-0005-0000-0000-000002000000}"/>
    <cellStyle name="Заголовки полей" xfId="6" xr:uid="{00000000-0005-0000-0000-000003000000}"/>
    <cellStyle name="Заголовки полей [печать]" xfId="7" xr:uid="{00000000-0005-0000-0000-000004000000}"/>
    <cellStyle name="Заголовок меры" xfId="8" xr:uid="{00000000-0005-0000-0000-000005000000}"/>
    <cellStyle name="Заголовок показателя [печать]" xfId="9" xr:uid="{00000000-0005-0000-0000-000006000000}"/>
    <cellStyle name="Заголовок показателя константы" xfId="10" xr:uid="{00000000-0005-0000-0000-000007000000}"/>
    <cellStyle name="Заголовок результата расчета" xfId="11" xr:uid="{00000000-0005-0000-0000-000008000000}"/>
    <cellStyle name="Заголовок свободного показателя" xfId="12" xr:uid="{00000000-0005-0000-0000-000009000000}"/>
    <cellStyle name="Значение фильтра" xfId="13" xr:uid="{00000000-0005-0000-0000-00000A000000}"/>
    <cellStyle name="Значение фильтра [печать]" xfId="14" xr:uid="{00000000-0005-0000-0000-00000B000000}"/>
    <cellStyle name="Информация о задаче" xfId="15" xr:uid="{00000000-0005-0000-0000-00000C000000}"/>
    <cellStyle name="Обычный" xfId="0" builtinId="0"/>
    <cellStyle name="Обычный 2" xfId="1" xr:uid="{00000000-0005-0000-0000-00000E000000}"/>
    <cellStyle name="Обычный 2 10" xfId="16" xr:uid="{00000000-0005-0000-0000-00000F000000}"/>
    <cellStyle name="Обычный 2 11" xfId="17" xr:uid="{00000000-0005-0000-0000-000010000000}"/>
    <cellStyle name="Обычный 2 12" xfId="18" xr:uid="{00000000-0005-0000-0000-000011000000}"/>
    <cellStyle name="Обычный 2 13" xfId="19" xr:uid="{00000000-0005-0000-0000-000012000000}"/>
    <cellStyle name="Обычный 2 14" xfId="20" xr:uid="{00000000-0005-0000-0000-000013000000}"/>
    <cellStyle name="Обычный 2 15" xfId="21" xr:uid="{00000000-0005-0000-0000-000014000000}"/>
    <cellStyle name="Обычный 2 16" xfId="22" xr:uid="{00000000-0005-0000-0000-000015000000}"/>
    <cellStyle name="Обычный 2 17" xfId="23" xr:uid="{00000000-0005-0000-0000-000016000000}"/>
    <cellStyle name="Обычный 2 18" xfId="24" xr:uid="{00000000-0005-0000-0000-000017000000}"/>
    <cellStyle name="Обычный 2 19" xfId="25" xr:uid="{00000000-0005-0000-0000-000018000000}"/>
    <cellStyle name="Обычный 2 2" xfId="26" xr:uid="{00000000-0005-0000-0000-000019000000}"/>
    <cellStyle name="Обычный 2 2 2" xfId="2" xr:uid="{00000000-0005-0000-0000-00001A000000}"/>
    <cellStyle name="Обычный 2 2 3" xfId="27" xr:uid="{00000000-0005-0000-0000-00001B000000}"/>
    <cellStyle name="Обычный 2 2 4" xfId="28" xr:uid="{00000000-0005-0000-0000-00001C000000}"/>
    <cellStyle name="Обычный 2 2 5" xfId="29" xr:uid="{00000000-0005-0000-0000-00001D000000}"/>
    <cellStyle name="Обычный 2 2 6" xfId="30" xr:uid="{00000000-0005-0000-0000-00001E000000}"/>
    <cellStyle name="Обычный 2 20" xfId="31" xr:uid="{00000000-0005-0000-0000-00001F000000}"/>
    <cellStyle name="Обычный 2 21" xfId="32" xr:uid="{00000000-0005-0000-0000-000020000000}"/>
    <cellStyle name="Обычный 2 22" xfId="33" xr:uid="{00000000-0005-0000-0000-000021000000}"/>
    <cellStyle name="Обычный 2 23" xfId="34" xr:uid="{00000000-0005-0000-0000-000022000000}"/>
    <cellStyle name="Обычный 2 24" xfId="35" xr:uid="{00000000-0005-0000-0000-000023000000}"/>
    <cellStyle name="Обычный 2 25" xfId="36" xr:uid="{00000000-0005-0000-0000-000024000000}"/>
    <cellStyle name="Обычный 2 26" xfId="37" xr:uid="{00000000-0005-0000-0000-000025000000}"/>
    <cellStyle name="Обычный 2 27" xfId="38" xr:uid="{00000000-0005-0000-0000-000026000000}"/>
    <cellStyle name="Обычный 2 28" xfId="39" xr:uid="{00000000-0005-0000-0000-000027000000}"/>
    <cellStyle name="Обычный 2 29" xfId="40" xr:uid="{00000000-0005-0000-0000-000028000000}"/>
    <cellStyle name="Обычный 2 3" xfId="41" xr:uid="{00000000-0005-0000-0000-000029000000}"/>
    <cellStyle name="Обычный 2 3 2" xfId="42" xr:uid="{00000000-0005-0000-0000-00002A000000}"/>
    <cellStyle name="Обычный 2 3 3" xfId="43" xr:uid="{00000000-0005-0000-0000-00002B000000}"/>
    <cellStyle name="Обычный 2 30" xfId="44" xr:uid="{00000000-0005-0000-0000-00002C000000}"/>
    <cellStyle name="Обычный 2 31" xfId="45" xr:uid="{00000000-0005-0000-0000-00002D000000}"/>
    <cellStyle name="Обычный 2 32" xfId="46" xr:uid="{00000000-0005-0000-0000-00002E000000}"/>
    <cellStyle name="Обычный 2 33" xfId="47" xr:uid="{00000000-0005-0000-0000-00002F000000}"/>
    <cellStyle name="Обычный 2 34" xfId="48" xr:uid="{00000000-0005-0000-0000-000030000000}"/>
    <cellStyle name="Обычный 2 35" xfId="49" xr:uid="{00000000-0005-0000-0000-000031000000}"/>
    <cellStyle name="Обычный 2 36" xfId="50" xr:uid="{00000000-0005-0000-0000-000032000000}"/>
    <cellStyle name="Обычный 2 37" xfId="51" xr:uid="{00000000-0005-0000-0000-000033000000}"/>
    <cellStyle name="Обычный 2 38" xfId="52" xr:uid="{00000000-0005-0000-0000-000034000000}"/>
    <cellStyle name="Обычный 2 39" xfId="53" xr:uid="{00000000-0005-0000-0000-000035000000}"/>
    <cellStyle name="Обычный 2 4" xfId="54" xr:uid="{00000000-0005-0000-0000-000036000000}"/>
    <cellStyle name="Обычный 2 4 2" xfId="55" xr:uid="{00000000-0005-0000-0000-000037000000}"/>
    <cellStyle name="Обычный 2 4 3" xfId="56" xr:uid="{00000000-0005-0000-0000-000038000000}"/>
    <cellStyle name="Обычный 2 40" xfId="57" xr:uid="{00000000-0005-0000-0000-000039000000}"/>
    <cellStyle name="Обычный 2 41" xfId="58" xr:uid="{00000000-0005-0000-0000-00003A000000}"/>
    <cellStyle name="Обычный 2 42" xfId="59" xr:uid="{00000000-0005-0000-0000-00003B000000}"/>
    <cellStyle name="Обычный 2 43" xfId="60" xr:uid="{00000000-0005-0000-0000-00003C000000}"/>
    <cellStyle name="Обычный 2 44" xfId="61" xr:uid="{00000000-0005-0000-0000-00003D000000}"/>
    <cellStyle name="Обычный 2 45" xfId="62" xr:uid="{00000000-0005-0000-0000-00003E000000}"/>
    <cellStyle name="Обычный 2 46" xfId="63" xr:uid="{00000000-0005-0000-0000-00003F000000}"/>
    <cellStyle name="Обычный 2 47" xfId="64" xr:uid="{00000000-0005-0000-0000-000040000000}"/>
    <cellStyle name="Обычный 2 48" xfId="65" xr:uid="{00000000-0005-0000-0000-000041000000}"/>
    <cellStyle name="Обычный 2 49" xfId="66" xr:uid="{00000000-0005-0000-0000-000042000000}"/>
    <cellStyle name="Обычный 2 5" xfId="67" xr:uid="{00000000-0005-0000-0000-000043000000}"/>
    <cellStyle name="Обычный 2 50" xfId="68" xr:uid="{00000000-0005-0000-0000-000044000000}"/>
    <cellStyle name="Обычный 2 51" xfId="69" xr:uid="{00000000-0005-0000-0000-000045000000}"/>
    <cellStyle name="Обычный 2 52" xfId="70" xr:uid="{00000000-0005-0000-0000-000046000000}"/>
    <cellStyle name="Обычный 2 53" xfId="71" xr:uid="{00000000-0005-0000-0000-000047000000}"/>
    <cellStyle name="Обычный 2 54" xfId="72" xr:uid="{00000000-0005-0000-0000-000048000000}"/>
    <cellStyle name="Обычный 2 55" xfId="73" xr:uid="{00000000-0005-0000-0000-000049000000}"/>
    <cellStyle name="Обычный 2 56" xfId="74" xr:uid="{00000000-0005-0000-0000-00004A000000}"/>
    <cellStyle name="Обычный 2 57" xfId="75" xr:uid="{00000000-0005-0000-0000-00004B000000}"/>
    <cellStyle name="Обычный 2 58" xfId="76" xr:uid="{00000000-0005-0000-0000-00004C000000}"/>
    <cellStyle name="Обычный 2 59" xfId="77" xr:uid="{00000000-0005-0000-0000-00004D000000}"/>
    <cellStyle name="Обычный 2 6" xfId="78" xr:uid="{00000000-0005-0000-0000-00004E000000}"/>
    <cellStyle name="Обычный 2 60" xfId="79" xr:uid="{00000000-0005-0000-0000-00004F000000}"/>
    <cellStyle name="Обычный 2 61" xfId="80" xr:uid="{00000000-0005-0000-0000-000050000000}"/>
    <cellStyle name="Обычный 2 62" xfId="81" xr:uid="{00000000-0005-0000-0000-000051000000}"/>
    <cellStyle name="Обычный 2 63" xfId="82" xr:uid="{00000000-0005-0000-0000-000052000000}"/>
    <cellStyle name="Обычный 2 64" xfId="83" xr:uid="{00000000-0005-0000-0000-000053000000}"/>
    <cellStyle name="Обычный 2 65" xfId="84" xr:uid="{00000000-0005-0000-0000-000054000000}"/>
    <cellStyle name="Обычный 2 66" xfId="85" xr:uid="{00000000-0005-0000-0000-000055000000}"/>
    <cellStyle name="Обычный 2 67" xfId="86" xr:uid="{00000000-0005-0000-0000-000056000000}"/>
    <cellStyle name="Обычный 2 68" xfId="87" xr:uid="{00000000-0005-0000-0000-000057000000}"/>
    <cellStyle name="Обычный 2 69" xfId="88" xr:uid="{00000000-0005-0000-0000-000058000000}"/>
    <cellStyle name="Обычный 2 7" xfId="89" xr:uid="{00000000-0005-0000-0000-000059000000}"/>
    <cellStyle name="Обычный 2 70" xfId="90" xr:uid="{00000000-0005-0000-0000-00005A000000}"/>
    <cellStyle name="Обычный 2 71" xfId="91" xr:uid="{00000000-0005-0000-0000-00005B000000}"/>
    <cellStyle name="Обычный 2 72" xfId="92" xr:uid="{00000000-0005-0000-0000-00005C000000}"/>
    <cellStyle name="Обычный 2 73" xfId="93" xr:uid="{00000000-0005-0000-0000-00005D000000}"/>
    <cellStyle name="Обычный 2 74" xfId="94" xr:uid="{00000000-0005-0000-0000-00005E000000}"/>
    <cellStyle name="Обычный 2 75" xfId="95" xr:uid="{00000000-0005-0000-0000-00005F000000}"/>
    <cellStyle name="Обычный 2 76" xfId="96" xr:uid="{00000000-0005-0000-0000-000060000000}"/>
    <cellStyle name="Обычный 2 77" xfId="97" xr:uid="{00000000-0005-0000-0000-000061000000}"/>
    <cellStyle name="Обычный 2 78" xfId="98" xr:uid="{00000000-0005-0000-0000-000062000000}"/>
    <cellStyle name="Обычный 2 8" xfId="99" xr:uid="{00000000-0005-0000-0000-000063000000}"/>
    <cellStyle name="Обычный 2 9" xfId="100" xr:uid="{00000000-0005-0000-0000-000064000000}"/>
    <cellStyle name="Обычный 3" xfId="101" xr:uid="{00000000-0005-0000-0000-000065000000}"/>
    <cellStyle name="Обычный 3 2" xfId="102" xr:uid="{00000000-0005-0000-0000-000066000000}"/>
    <cellStyle name="Обычный 3_Книга1" xfId="128" xr:uid="{00000000-0005-0000-0000-000067000000}"/>
    <cellStyle name="Обычный 4" xfId="103" xr:uid="{00000000-0005-0000-0000-000068000000}"/>
    <cellStyle name="Обычный 4 2" xfId="104" xr:uid="{00000000-0005-0000-0000-000069000000}"/>
    <cellStyle name="Обычный 5" xfId="105" xr:uid="{00000000-0005-0000-0000-00006A000000}"/>
    <cellStyle name="Обычный 5 2" xfId="106" xr:uid="{00000000-0005-0000-0000-00006B000000}"/>
    <cellStyle name="Обычный 6" xfId="107" xr:uid="{00000000-0005-0000-0000-00006C000000}"/>
    <cellStyle name="Обычный 7" xfId="108" xr:uid="{00000000-0005-0000-0000-00006D000000}"/>
    <cellStyle name="Обычный_республиканский  2005 г" xfId="130" xr:uid="{00000000-0005-0000-0000-00006E000000}"/>
    <cellStyle name="Отдельная ячейка" xfId="109" xr:uid="{00000000-0005-0000-0000-00006F000000}"/>
    <cellStyle name="Отдельная ячейка - константа" xfId="110" xr:uid="{00000000-0005-0000-0000-000070000000}"/>
    <cellStyle name="Отдельная ячейка - константа [печать]" xfId="111" xr:uid="{00000000-0005-0000-0000-000071000000}"/>
    <cellStyle name="Отдельная ячейка [печать]" xfId="112" xr:uid="{00000000-0005-0000-0000-000072000000}"/>
    <cellStyle name="Отдельная ячейка-результат" xfId="113" xr:uid="{00000000-0005-0000-0000-000073000000}"/>
    <cellStyle name="Отдельная ячейка-результат [печать]" xfId="114" xr:uid="{00000000-0005-0000-0000-000074000000}"/>
    <cellStyle name="Примечание 2" xfId="115" xr:uid="{00000000-0005-0000-0000-000075000000}"/>
    <cellStyle name="Свойства элементов измерения" xfId="116" xr:uid="{00000000-0005-0000-0000-000076000000}"/>
    <cellStyle name="Свойства элементов измерения [печать]" xfId="117" xr:uid="{00000000-0005-0000-0000-000077000000}"/>
    <cellStyle name="Финансовый 2" xfId="118" xr:uid="{00000000-0005-0000-0000-000078000000}"/>
    <cellStyle name="Финансовый 2 2" xfId="119" xr:uid="{00000000-0005-0000-0000-000079000000}"/>
    <cellStyle name="Финансовый 3" xfId="120" xr:uid="{00000000-0005-0000-0000-00007A000000}"/>
    <cellStyle name="Финансовый 3 2" xfId="121" xr:uid="{00000000-0005-0000-0000-00007B000000}"/>
    <cellStyle name="Финансовый 4" xfId="122" xr:uid="{00000000-0005-0000-0000-00007C000000}"/>
    <cellStyle name="Финансовый 4 2" xfId="123" xr:uid="{00000000-0005-0000-0000-00007D000000}"/>
    <cellStyle name="Финансовый 5" xfId="124" xr:uid="{00000000-0005-0000-0000-00007E000000}"/>
    <cellStyle name="Финансовый 5 2" xfId="129" xr:uid="{00000000-0005-0000-0000-00007F000000}"/>
    <cellStyle name="Финансовый 6" xfId="125" xr:uid="{00000000-0005-0000-0000-000080000000}"/>
    <cellStyle name="Элементы осей" xfId="126" xr:uid="{00000000-0005-0000-0000-000081000000}"/>
    <cellStyle name="Элементы осей [печать]" xfId="127" xr:uid="{00000000-0005-0000-0000-00008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HE197"/>
  <sheetViews>
    <sheetView view="pageBreakPreview" zoomScale="85" zoomScaleNormal="100" zoomScaleSheetLayoutView="85" workbookViewId="0">
      <pane xSplit="1" ySplit="5" topLeftCell="E74" activePane="bottomRight" state="frozen"/>
      <selection pane="topRight" activeCell="B1" sqref="B1"/>
      <selection pane="bottomLeft" activeCell="A6" sqref="A6"/>
      <selection pane="bottomRight" activeCell="E85" sqref="E85"/>
    </sheetView>
  </sheetViews>
  <sheetFormatPr defaultRowHeight="15.75" x14ac:dyDescent="0.25"/>
  <cols>
    <col min="1" max="1" width="56.42578125" style="3" customWidth="1"/>
    <col min="2" max="2" width="15.140625" style="1" customWidth="1"/>
    <col min="3" max="3" width="15.28515625" style="34" customWidth="1"/>
    <col min="4" max="4" width="11.42578125" style="1" customWidth="1"/>
    <col min="5" max="5" width="15.28515625" style="1" customWidth="1"/>
    <col min="6" max="6" width="10.85546875" style="1" customWidth="1"/>
    <col min="7" max="7" width="16.85546875" style="1" customWidth="1"/>
    <col min="8" max="8" width="10.7109375" style="1" customWidth="1"/>
    <col min="9" max="9" width="16.85546875" style="1" customWidth="1"/>
    <col min="10" max="10" width="10.28515625" style="1" customWidth="1"/>
    <col min="11" max="96" width="9.140625" style="1"/>
    <col min="97" max="97" width="29.140625" style="1" customWidth="1"/>
    <col min="98" max="99" width="9.140625" style="1" customWidth="1"/>
    <col min="100" max="100" width="11.5703125" style="1" customWidth="1"/>
    <col min="101" max="101" width="9.140625" style="1" customWidth="1"/>
    <col min="102" max="102" width="12.140625" style="1" customWidth="1"/>
    <col min="103" max="103" width="11.28515625" style="1" customWidth="1"/>
    <col min="104" max="104" width="12.5703125" style="1" customWidth="1"/>
    <col min="105" max="105" width="9.140625" style="1" customWidth="1"/>
    <col min="106" max="106" width="13.42578125" style="1" customWidth="1"/>
    <col min="107" max="107" width="6.85546875" style="1" customWidth="1"/>
    <col min="108" max="108" width="12.85546875" style="1" customWidth="1"/>
    <col min="109" max="109" width="7.28515625" style="1" customWidth="1"/>
    <col min="110" max="110" width="12.42578125" style="1" customWidth="1"/>
    <col min="111" max="111" width="8.28515625" style="1" customWidth="1"/>
    <col min="112" max="112" width="9.140625" style="1"/>
    <col min="113" max="113" width="10" style="1" bestFit="1" customWidth="1"/>
    <col min="114" max="114" width="9.7109375" style="1" customWidth="1"/>
    <col min="115" max="16384" width="9.140625" style="1"/>
  </cols>
  <sheetData>
    <row r="1" spans="1:10" ht="18.75" customHeight="1" x14ac:dyDescent="0.25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36.75" customHeight="1" x14ac:dyDescent="0.25">
      <c r="A2" s="77" t="s">
        <v>111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27"/>
      <c r="B3" s="24"/>
      <c r="C3" s="24"/>
      <c r="D3" s="24"/>
      <c r="E3" s="24"/>
      <c r="F3" s="24"/>
      <c r="H3" s="26"/>
      <c r="I3" s="26" t="s">
        <v>54</v>
      </c>
      <c r="J3" s="26"/>
    </row>
    <row r="4" spans="1:10" s="24" customFormat="1" ht="47.25" x14ac:dyDescent="0.2">
      <c r="A4" s="25" t="s">
        <v>53</v>
      </c>
      <c r="B4" s="25" t="s">
        <v>91</v>
      </c>
      <c r="C4" s="25" t="s">
        <v>92</v>
      </c>
      <c r="D4" s="25" t="s">
        <v>64</v>
      </c>
      <c r="E4" s="25" t="s">
        <v>66</v>
      </c>
      <c r="F4" s="25" t="s">
        <v>67</v>
      </c>
      <c r="G4" s="25" t="s">
        <v>87</v>
      </c>
      <c r="H4" s="25" t="s">
        <v>88</v>
      </c>
      <c r="I4" s="25" t="s">
        <v>93</v>
      </c>
      <c r="J4" s="25" t="s">
        <v>94</v>
      </c>
    </row>
    <row r="5" spans="1:10" x14ac:dyDescent="0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</row>
    <row r="6" spans="1:10" x14ac:dyDescent="0.25">
      <c r="A6" s="9" t="s">
        <v>52</v>
      </c>
      <c r="B6" s="30"/>
      <c r="C6" s="30"/>
      <c r="D6" s="35"/>
      <c r="E6" s="30"/>
      <c r="F6" s="35"/>
      <c r="G6" s="30"/>
      <c r="H6" s="35"/>
      <c r="I6" s="30"/>
      <c r="J6" s="35"/>
    </row>
    <row r="7" spans="1:10" s="22" customFormat="1" x14ac:dyDescent="0.25">
      <c r="A7" s="12" t="s">
        <v>51</v>
      </c>
      <c r="B7" s="59">
        <f>B8+B11+B14+B19+B23</f>
        <v>38539.883000000002</v>
      </c>
      <c r="C7" s="50">
        <f>C8+C11+C14+C19+C23</f>
        <v>42844</v>
      </c>
      <c r="D7" s="49">
        <f>C7/B7%</f>
        <v>111.16795554361178</v>
      </c>
      <c r="E7" s="50">
        <f>E8+E11+E14+E19+E23</f>
        <v>48933</v>
      </c>
      <c r="F7" s="49">
        <f>E7/C7%</f>
        <v>114.21202502100644</v>
      </c>
      <c r="G7" s="50">
        <f>G8+G11+G14+G19+G23</f>
        <v>55548</v>
      </c>
      <c r="H7" s="49">
        <f>G7/E7%</f>
        <v>113.51848445834101</v>
      </c>
      <c r="I7" s="50">
        <f>I8+I11+I14+I19+I23</f>
        <v>67449</v>
      </c>
      <c r="J7" s="49">
        <f>I7/G7%</f>
        <v>121.4247137610715</v>
      </c>
    </row>
    <row r="8" spans="1:10" s="22" customFormat="1" x14ac:dyDescent="0.25">
      <c r="A8" s="12" t="s">
        <v>50</v>
      </c>
      <c r="B8" s="59">
        <f>SUM(B9:B10)</f>
        <v>26342.109</v>
      </c>
      <c r="C8" s="50">
        <f>SUM(C9:C10)</f>
        <v>29469</v>
      </c>
      <c r="D8" s="49">
        <f t="shared" ref="D8" si="0">C8/B8%</f>
        <v>111.87031380061482</v>
      </c>
      <c r="E8" s="50">
        <f>E9+E10</f>
        <v>34977</v>
      </c>
      <c r="F8" s="49">
        <f t="shared" ref="F8:J10" si="1">E8/C8%</f>
        <v>118.69082764939428</v>
      </c>
      <c r="G8" s="50">
        <f>SUM(G9:G10)</f>
        <v>41273</v>
      </c>
      <c r="H8" s="49">
        <f t="shared" si="1"/>
        <v>118.00040026303</v>
      </c>
      <c r="I8" s="50">
        <f>SUM(I9:I10)</f>
        <v>48867</v>
      </c>
      <c r="J8" s="49">
        <f t="shared" si="1"/>
        <v>118.39943788917694</v>
      </c>
    </row>
    <row r="9" spans="1:10" s="22" customFormat="1" hidden="1" x14ac:dyDescent="0.25">
      <c r="A9" s="10" t="s">
        <v>49</v>
      </c>
      <c r="B9" s="60"/>
      <c r="C9" s="32"/>
      <c r="D9" s="38"/>
      <c r="E9" s="32"/>
      <c r="F9" s="38"/>
      <c r="G9" s="32"/>
      <c r="H9" s="49" t="e">
        <f t="shared" si="1"/>
        <v>#DIV/0!</v>
      </c>
      <c r="I9" s="32"/>
      <c r="J9" s="38"/>
    </row>
    <row r="10" spans="1:10" s="22" customFormat="1" x14ac:dyDescent="0.25">
      <c r="A10" s="10" t="s">
        <v>48</v>
      </c>
      <c r="B10" s="60">
        <v>26342.109</v>
      </c>
      <c r="C10" s="32">
        <v>29469</v>
      </c>
      <c r="D10" s="38">
        <f t="shared" ref="D10:D33" si="2">C10/B10%</f>
        <v>111.87031380061482</v>
      </c>
      <c r="E10" s="32">
        <v>34977</v>
      </c>
      <c r="F10" s="38">
        <f>E10/C10%</f>
        <v>118.69082764939428</v>
      </c>
      <c r="G10" s="32">
        <v>41273</v>
      </c>
      <c r="H10" s="49">
        <f t="shared" si="1"/>
        <v>118.00040026303</v>
      </c>
      <c r="I10" s="32">
        <v>48867</v>
      </c>
      <c r="J10" s="38">
        <f>I10/G10%</f>
        <v>118.39943788917694</v>
      </c>
    </row>
    <row r="11" spans="1:10" s="22" customFormat="1" ht="31.5" x14ac:dyDescent="0.25">
      <c r="A11" s="12" t="s">
        <v>47</v>
      </c>
      <c r="B11" s="59">
        <f>SUM(B12:B13)</f>
        <v>10235.800999999999</v>
      </c>
      <c r="C11" s="50">
        <f>SUM(C12:C13)</f>
        <v>10645</v>
      </c>
      <c r="D11" s="49">
        <f t="shared" si="2"/>
        <v>103.99772328516352</v>
      </c>
      <c r="E11" s="50">
        <f>SUM(E12:E13)</f>
        <v>11643</v>
      </c>
      <c r="F11" s="49">
        <f t="shared" ref="F11:J90" si="3">E11/C11%</f>
        <v>109.37529356505401</v>
      </c>
      <c r="G11" s="50">
        <f>SUM(G12:G13)</f>
        <v>11795</v>
      </c>
      <c r="H11" s="49">
        <f t="shared" si="3"/>
        <v>101.3055054539208</v>
      </c>
      <c r="I11" s="50">
        <f>SUM(I12:I13)</f>
        <v>15898</v>
      </c>
      <c r="J11" s="49">
        <f t="shared" si="3"/>
        <v>134.78592623993217</v>
      </c>
    </row>
    <row r="12" spans="1:10" s="22" customFormat="1" x14ac:dyDescent="0.25">
      <c r="A12" s="10" t="s">
        <v>46</v>
      </c>
      <c r="B12" s="60">
        <v>10235.800999999999</v>
      </c>
      <c r="C12" s="32">
        <v>10645</v>
      </c>
      <c r="D12" s="38">
        <f>C12/B12%</f>
        <v>103.99772328516352</v>
      </c>
      <c r="E12" s="32">
        <v>11643</v>
      </c>
      <c r="F12" s="38">
        <f t="shared" si="3"/>
        <v>109.37529356505401</v>
      </c>
      <c r="G12" s="32">
        <v>11795</v>
      </c>
      <c r="H12" s="38">
        <f t="shared" si="3"/>
        <v>101.3055054539208</v>
      </c>
      <c r="I12" s="32">
        <v>15898</v>
      </c>
      <c r="J12" s="38">
        <f t="shared" si="3"/>
        <v>134.78592623993217</v>
      </c>
    </row>
    <row r="13" spans="1:10" s="22" customFormat="1" hidden="1" x14ac:dyDescent="0.25">
      <c r="A13" s="10" t="s">
        <v>45</v>
      </c>
      <c r="B13" s="60"/>
      <c r="C13" s="32"/>
      <c r="D13" s="38"/>
      <c r="E13" s="32"/>
      <c r="F13" s="38"/>
      <c r="G13" s="32"/>
      <c r="H13" s="38"/>
      <c r="I13" s="32"/>
      <c r="J13" s="38"/>
    </row>
    <row r="14" spans="1:10" s="22" customFormat="1" x14ac:dyDescent="0.25">
      <c r="A14" s="12" t="s">
        <v>44</v>
      </c>
      <c r="B14" s="59">
        <f>SUM(B15:B18)</f>
        <v>1345.268</v>
      </c>
      <c r="C14" s="50">
        <f>SUM(C15:C18)</f>
        <v>1722</v>
      </c>
      <c r="D14" s="49">
        <f t="shared" si="2"/>
        <v>128.00423410056584</v>
      </c>
      <c r="E14" s="50">
        <f>SUM(E15:E18)</f>
        <v>1055</v>
      </c>
      <c r="F14" s="49">
        <f t="shared" si="3"/>
        <v>61.265969802555169</v>
      </c>
      <c r="G14" s="50">
        <f>SUM(G15:G18)</f>
        <v>1132</v>
      </c>
      <c r="H14" s="49">
        <f>SUM(H15:H18)</f>
        <v>321.49528644266815</v>
      </c>
      <c r="I14" s="50">
        <f>SUM(I15:I18)</f>
        <v>1233</v>
      </c>
      <c r="J14" s="49">
        <f>SUM(J15:J18)</f>
        <v>327.36993656498305</v>
      </c>
    </row>
    <row r="15" spans="1:10" s="22" customFormat="1" ht="31.5" x14ac:dyDescent="0.25">
      <c r="A15" s="10" t="s">
        <v>42</v>
      </c>
      <c r="B15" s="60">
        <v>3.6190000000000002</v>
      </c>
      <c r="C15" s="32">
        <v>0</v>
      </c>
      <c r="D15" s="38">
        <f t="shared" si="2"/>
        <v>0</v>
      </c>
      <c r="E15" s="32"/>
      <c r="F15" s="38">
        <v>0</v>
      </c>
      <c r="G15" s="32"/>
      <c r="H15" s="38">
        <v>0</v>
      </c>
      <c r="I15" s="32"/>
      <c r="J15" s="38"/>
    </row>
    <row r="16" spans="1:10" s="22" customFormat="1" x14ac:dyDescent="0.25">
      <c r="A16" s="10" t="s">
        <v>41</v>
      </c>
      <c r="B16" s="60">
        <v>11.413</v>
      </c>
      <c r="C16" s="32">
        <v>16</v>
      </c>
      <c r="D16" s="38">
        <f t="shared" si="2"/>
        <v>140.19101025146762</v>
      </c>
      <c r="E16" s="32">
        <v>19</v>
      </c>
      <c r="F16" s="38">
        <f t="shared" si="3"/>
        <v>118.75</v>
      </c>
      <c r="G16" s="32">
        <v>20</v>
      </c>
      <c r="H16" s="38">
        <f t="shared" si="3"/>
        <v>105.26315789473684</v>
      </c>
      <c r="I16" s="32">
        <v>22</v>
      </c>
      <c r="J16" s="38">
        <f t="shared" si="3"/>
        <v>110</v>
      </c>
    </row>
    <row r="17" spans="1:10" s="22" customFormat="1" ht="31.5" x14ac:dyDescent="0.25">
      <c r="A17" s="10" t="s">
        <v>40</v>
      </c>
      <c r="B17" s="60">
        <v>7.1020000000000003</v>
      </c>
      <c r="C17" s="32">
        <v>80</v>
      </c>
      <c r="D17" s="38">
        <f>C17/B17%</f>
        <v>1126.4432554210082</v>
      </c>
      <c r="E17" s="32">
        <v>131</v>
      </c>
      <c r="F17" s="38">
        <f t="shared" si="3"/>
        <v>163.75</v>
      </c>
      <c r="G17" s="32">
        <v>143</v>
      </c>
      <c r="H17" s="38">
        <f t="shared" si="3"/>
        <v>109.16030534351144</v>
      </c>
      <c r="I17" s="32">
        <v>155</v>
      </c>
      <c r="J17" s="38">
        <f t="shared" si="3"/>
        <v>108.3916083916084</v>
      </c>
    </row>
    <row r="18" spans="1:10" s="22" customFormat="1" ht="31.5" x14ac:dyDescent="0.25">
      <c r="A18" s="10" t="s">
        <v>43</v>
      </c>
      <c r="B18" s="60">
        <v>1323.134</v>
      </c>
      <c r="C18" s="32">
        <v>1626</v>
      </c>
      <c r="D18" s="38">
        <v>0</v>
      </c>
      <c r="E18" s="32">
        <v>905</v>
      </c>
      <c r="F18" s="38">
        <f t="shared" si="3"/>
        <v>55.658056580565798</v>
      </c>
      <c r="G18" s="32">
        <v>969</v>
      </c>
      <c r="H18" s="38">
        <f>G18/E18%</f>
        <v>107.07182320441989</v>
      </c>
      <c r="I18" s="32">
        <v>1056</v>
      </c>
      <c r="J18" s="38">
        <f t="shared" si="3"/>
        <v>108.97832817337462</v>
      </c>
    </row>
    <row r="19" spans="1:10" s="22" customFormat="1" x14ac:dyDescent="0.25">
      <c r="A19" s="12" t="s">
        <v>39</v>
      </c>
      <c r="B19" s="59">
        <f>SUM(B20:B22)</f>
        <v>318.65999999999997</v>
      </c>
      <c r="C19" s="50">
        <f>SUM(C20:C22)</f>
        <v>671</v>
      </c>
      <c r="D19" s="38">
        <f t="shared" si="2"/>
        <v>210.56925877110402</v>
      </c>
      <c r="E19" s="50">
        <f>SUM(E20:E22)</f>
        <v>851</v>
      </c>
      <c r="F19" s="38">
        <f t="shared" si="3"/>
        <v>126.82563338301043</v>
      </c>
      <c r="G19" s="50">
        <f>SUM(G20:G22)</f>
        <v>888</v>
      </c>
      <c r="H19" s="38">
        <f t="shared" si="3"/>
        <v>104.34782608695653</v>
      </c>
      <c r="I19" s="50">
        <f>SUM(I20:I22)</f>
        <v>929</v>
      </c>
      <c r="J19" s="38">
        <f t="shared" si="3"/>
        <v>104.6171171171171</v>
      </c>
    </row>
    <row r="20" spans="1:10" s="22" customFormat="1" x14ac:dyDescent="0.25">
      <c r="A20" s="10" t="s">
        <v>38</v>
      </c>
      <c r="B20" s="60">
        <v>27.544</v>
      </c>
      <c r="C20" s="32">
        <v>23</v>
      </c>
      <c r="D20" s="38"/>
      <c r="E20" s="32">
        <v>34</v>
      </c>
      <c r="F20" s="38"/>
      <c r="G20" s="32">
        <v>36</v>
      </c>
      <c r="H20" s="38"/>
      <c r="I20" s="32">
        <v>38</v>
      </c>
      <c r="J20" s="38"/>
    </row>
    <row r="21" spans="1:10" s="22" customFormat="1" x14ac:dyDescent="0.25">
      <c r="A21" s="10" t="s">
        <v>37</v>
      </c>
      <c r="B21" s="60">
        <v>149.547</v>
      </c>
      <c r="C21" s="32">
        <v>347</v>
      </c>
      <c r="D21" s="38">
        <f t="shared" si="2"/>
        <v>232.03407624358897</v>
      </c>
      <c r="E21" s="32">
        <v>571</v>
      </c>
      <c r="F21" s="38">
        <f t="shared" si="3"/>
        <v>164.55331412103746</v>
      </c>
      <c r="G21" s="32">
        <v>597</v>
      </c>
      <c r="H21" s="38">
        <f t="shared" si="3"/>
        <v>104.55341506129598</v>
      </c>
      <c r="I21" s="32">
        <v>627</v>
      </c>
      <c r="J21" s="38">
        <f t="shared" si="3"/>
        <v>105.02512562814071</v>
      </c>
    </row>
    <row r="22" spans="1:10" s="22" customFormat="1" x14ac:dyDescent="0.25">
      <c r="A22" s="10" t="s">
        <v>36</v>
      </c>
      <c r="B22" s="60">
        <v>141.56899999999999</v>
      </c>
      <c r="C22" s="32">
        <v>301</v>
      </c>
      <c r="D22" s="38"/>
      <c r="E22" s="32">
        <v>246</v>
      </c>
      <c r="F22" s="38">
        <f t="shared" si="3"/>
        <v>81.72757475083057</v>
      </c>
      <c r="G22" s="32">
        <v>255</v>
      </c>
      <c r="H22" s="38">
        <f t="shared" si="3"/>
        <v>103.65853658536585</v>
      </c>
      <c r="I22" s="32">
        <v>264</v>
      </c>
      <c r="J22" s="38">
        <f t="shared" si="3"/>
        <v>103.52941176470588</v>
      </c>
    </row>
    <row r="23" spans="1:10" s="22" customFormat="1" x14ac:dyDescent="0.25">
      <c r="A23" s="12" t="s">
        <v>35</v>
      </c>
      <c r="B23" s="59">
        <v>298.04500000000002</v>
      </c>
      <c r="C23" s="50">
        <v>337</v>
      </c>
      <c r="D23" s="49">
        <f t="shared" si="2"/>
        <v>113.07017396701839</v>
      </c>
      <c r="E23" s="50">
        <v>407</v>
      </c>
      <c r="F23" s="49">
        <f t="shared" si="3"/>
        <v>120.77151335311572</v>
      </c>
      <c r="G23" s="50">
        <v>460</v>
      </c>
      <c r="H23" s="49">
        <f t="shared" si="3"/>
        <v>113.02211302211302</v>
      </c>
      <c r="I23" s="50">
        <v>522</v>
      </c>
      <c r="J23" s="49">
        <f t="shared" si="3"/>
        <v>113.47826086956523</v>
      </c>
    </row>
    <row r="24" spans="1:10" s="22" customFormat="1" x14ac:dyDescent="0.25">
      <c r="A24" s="12" t="s">
        <v>34</v>
      </c>
      <c r="B24" s="59">
        <f>B25+B27+B28+B30+B31+B32</f>
        <v>515.55700000000002</v>
      </c>
      <c r="C24" s="50">
        <f>C25+C27+C28+C30+C31+C32</f>
        <v>2535</v>
      </c>
      <c r="D24" s="49">
        <f t="shared" si="2"/>
        <v>491.70120859575178</v>
      </c>
      <c r="E24" s="50">
        <f>E25+E27+E28+E30+E31+E32</f>
        <v>361</v>
      </c>
      <c r="F24" s="49">
        <f t="shared" si="3"/>
        <v>14.240631163708086</v>
      </c>
      <c r="G24" s="50">
        <f>G25+G27+G28+G30+G31+G32</f>
        <v>405</v>
      </c>
      <c r="H24" s="49">
        <f t="shared" si="3"/>
        <v>112.18836565096953</v>
      </c>
      <c r="I24" s="50">
        <f>I25+I27+I28+I30+I31+I32</f>
        <v>420</v>
      </c>
      <c r="J24" s="49">
        <f t="shared" si="3"/>
        <v>103.70370370370371</v>
      </c>
    </row>
    <row r="25" spans="1:10" s="15" customFormat="1" x14ac:dyDescent="0.2">
      <c r="A25" s="12" t="s">
        <v>32</v>
      </c>
      <c r="B25" s="59">
        <f>SUM(B26:B26)</f>
        <v>24.538</v>
      </c>
      <c r="C25" s="50">
        <f>SUM(C26:C26)</f>
        <v>95</v>
      </c>
      <c r="D25" s="49">
        <f t="shared" si="2"/>
        <v>387.15461732822558</v>
      </c>
      <c r="E25" s="50">
        <f>SUM(E26:E26)</f>
        <v>100</v>
      </c>
      <c r="F25" s="49">
        <f t="shared" si="3"/>
        <v>105.26315789473685</v>
      </c>
      <c r="G25" s="50">
        <f>SUM(G26:G26)</f>
        <v>105</v>
      </c>
      <c r="H25" s="49">
        <f t="shared" si="3"/>
        <v>105</v>
      </c>
      <c r="I25" s="50">
        <f>SUM(I26:I26)</f>
        <v>110</v>
      </c>
      <c r="J25" s="49">
        <f t="shared" si="3"/>
        <v>104.76190476190476</v>
      </c>
    </row>
    <row r="26" spans="1:10" s="15" customFormat="1" ht="31.5" x14ac:dyDescent="0.2">
      <c r="A26" s="10" t="s">
        <v>31</v>
      </c>
      <c r="B26" s="60">
        <v>24.538</v>
      </c>
      <c r="C26" s="32">
        <v>95</v>
      </c>
      <c r="D26" s="38">
        <f>C26/B26%</f>
        <v>387.15461732822558</v>
      </c>
      <c r="E26" s="32">
        <v>100</v>
      </c>
      <c r="F26" s="38">
        <f t="shared" si="3"/>
        <v>105.26315789473685</v>
      </c>
      <c r="G26" s="32">
        <v>105</v>
      </c>
      <c r="H26" s="38">
        <f t="shared" si="3"/>
        <v>105</v>
      </c>
      <c r="I26" s="32">
        <v>110</v>
      </c>
      <c r="J26" s="38">
        <f t="shared" si="3"/>
        <v>104.76190476190476</v>
      </c>
    </row>
    <row r="27" spans="1:10" s="15" customFormat="1" ht="31.5" x14ac:dyDescent="0.2">
      <c r="A27" s="12" t="s">
        <v>30</v>
      </c>
      <c r="B27" s="59">
        <v>23.417000000000002</v>
      </c>
      <c r="C27" s="50">
        <v>2</v>
      </c>
      <c r="D27" s="49">
        <f>C27/B27%</f>
        <v>8.5408036896271931</v>
      </c>
      <c r="E27" s="50">
        <v>2</v>
      </c>
      <c r="F27" s="49">
        <f>E27/C27%</f>
        <v>100</v>
      </c>
      <c r="G27" s="50">
        <v>2</v>
      </c>
      <c r="H27" s="49">
        <f t="shared" si="3"/>
        <v>100</v>
      </c>
      <c r="I27" s="50">
        <v>2</v>
      </c>
      <c r="J27" s="49">
        <f t="shared" si="3"/>
        <v>100</v>
      </c>
    </row>
    <row r="28" spans="1:10" s="15" customFormat="1" x14ac:dyDescent="0.2">
      <c r="A28" s="12" t="s">
        <v>33</v>
      </c>
      <c r="B28" s="59">
        <f>B29</f>
        <v>99.62</v>
      </c>
      <c r="C28" s="50">
        <f>C29</f>
        <v>168</v>
      </c>
      <c r="D28" s="38">
        <f t="shared" si="2"/>
        <v>168.64083517365989</v>
      </c>
      <c r="E28" s="50">
        <f>E29</f>
        <v>175</v>
      </c>
      <c r="F28" s="38">
        <f t="shared" si="3"/>
        <v>104.16666666666667</v>
      </c>
      <c r="G28" s="50">
        <f>G29</f>
        <v>182</v>
      </c>
      <c r="H28" s="38">
        <f t="shared" si="3"/>
        <v>104</v>
      </c>
      <c r="I28" s="50">
        <f>I29</f>
        <v>189</v>
      </c>
      <c r="J28" s="38">
        <f t="shared" si="3"/>
        <v>103.84615384615384</v>
      </c>
    </row>
    <row r="29" spans="1:10" s="15" customFormat="1" x14ac:dyDescent="0.25">
      <c r="A29" s="21" t="s">
        <v>60</v>
      </c>
      <c r="B29" s="60">
        <v>99.62</v>
      </c>
      <c r="C29" s="32">
        <v>168</v>
      </c>
      <c r="D29" s="38">
        <f t="shared" si="2"/>
        <v>168.64083517365989</v>
      </c>
      <c r="E29" s="32">
        <v>175</v>
      </c>
      <c r="F29" s="38">
        <f t="shared" si="3"/>
        <v>104.16666666666667</v>
      </c>
      <c r="G29" s="32">
        <v>182</v>
      </c>
      <c r="H29" s="38">
        <f t="shared" si="3"/>
        <v>104</v>
      </c>
      <c r="I29" s="32">
        <v>189</v>
      </c>
      <c r="J29" s="38">
        <f t="shared" si="3"/>
        <v>103.84615384615384</v>
      </c>
    </row>
    <row r="30" spans="1:10" s="15" customFormat="1" ht="31.5" x14ac:dyDescent="0.2">
      <c r="A30" s="12" t="s">
        <v>29</v>
      </c>
      <c r="B30" s="59">
        <v>117.78700000000001</v>
      </c>
      <c r="C30" s="50">
        <v>92</v>
      </c>
      <c r="D30" s="49">
        <f t="shared" si="2"/>
        <v>78.107091614524521</v>
      </c>
      <c r="E30" s="50">
        <v>42</v>
      </c>
      <c r="F30" s="49">
        <f t="shared" si="3"/>
        <v>45.652173913043477</v>
      </c>
      <c r="G30" s="50">
        <v>44</v>
      </c>
      <c r="H30" s="49">
        <f t="shared" si="3"/>
        <v>104.76190476190476</v>
      </c>
      <c r="I30" s="50">
        <v>46</v>
      </c>
      <c r="J30" s="49">
        <f t="shared" si="3"/>
        <v>104.54545454545455</v>
      </c>
    </row>
    <row r="31" spans="1:10" s="15" customFormat="1" x14ac:dyDescent="0.2">
      <c r="A31" s="12" t="s">
        <v>28</v>
      </c>
      <c r="B31" s="59">
        <v>182.935</v>
      </c>
      <c r="C31" s="50">
        <v>81</v>
      </c>
      <c r="D31" s="49">
        <f t="shared" si="2"/>
        <v>44.278022248339575</v>
      </c>
      <c r="E31" s="50">
        <v>20</v>
      </c>
      <c r="F31" s="49">
        <f t="shared" si="3"/>
        <v>24.691358024691358</v>
      </c>
      <c r="G31" s="50">
        <v>50</v>
      </c>
      <c r="H31" s="49">
        <f t="shared" si="3"/>
        <v>250</v>
      </c>
      <c r="I31" s="50">
        <v>50</v>
      </c>
      <c r="J31" s="49">
        <f t="shared" si="3"/>
        <v>100</v>
      </c>
    </row>
    <row r="32" spans="1:10" s="15" customFormat="1" x14ac:dyDescent="0.2">
      <c r="A32" s="12" t="s">
        <v>27</v>
      </c>
      <c r="B32" s="59">
        <v>67.260000000000005</v>
      </c>
      <c r="C32" s="50">
        <v>2097</v>
      </c>
      <c r="D32" s="49">
        <f t="shared" si="2"/>
        <v>3117.7520071364847</v>
      </c>
      <c r="E32" s="50">
        <v>22</v>
      </c>
      <c r="F32" s="49">
        <f t="shared" si="3"/>
        <v>1.0491177873152122</v>
      </c>
      <c r="G32" s="50">
        <v>22</v>
      </c>
      <c r="H32" s="49">
        <f t="shared" si="3"/>
        <v>100</v>
      </c>
      <c r="I32" s="50">
        <v>23</v>
      </c>
      <c r="J32" s="49">
        <f t="shared" si="3"/>
        <v>104.54545454545455</v>
      </c>
    </row>
    <row r="33" spans="1:10" s="15" customFormat="1" ht="31.5" x14ac:dyDescent="0.2">
      <c r="A33" s="12" t="s">
        <v>26</v>
      </c>
      <c r="B33" s="59">
        <f>B7+B24</f>
        <v>39055.440000000002</v>
      </c>
      <c r="C33" s="50">
        <f>C7+C24</f>
        <v>45379</v>
      </c>
      <c r="D33" s="49">
        <f t="shared" si="2"/>
        <v>116.19123993994177</v>
      </c>
      <c r="E33" s="50">
        <f>E7+E24</f>
        <v>49294</v>
      </c>
      <c r="F33" s="49">
        <f>E33/C33%</f>
        <v>108.62733863681439</v>
      </c>
      <c r="G33" s="50">
        <f>G7+G24</f>
        <v>55953</v>
      </c>
      <c r="H33" s="49">
        <f t="shared" si="3"/>
        <v>113.50874345762162</v>
      </c>
      <c r="I33" s="50">
        <f>I7+I24</f>
        <v>67869</v>
      </c>
      <c r="J33" s="49">
        <f t="shared" si="3"/>
        <v>121.29644523081873</v>
      </c>
    </row>
    <row r="34" spans="1:10" s="15" customFormat="1" x14ac:dyDescent="0.2">
      <c r="A34" s="12" t="s">
        <v>63</v>
      </c>
      <c r="B34" s="75">
        <v>7464.2020000000002</v>
      </c>
      <c r="C34" s="62">
        <v>11002.66</v>
      </c>
      <c r="D34" s="49"/>
      <c r="E34" s="50"/>
      <c r="F34" s="49"/>
      <c r="G34" s="50">
        <v>0</v>
      </c>
      <c r="H34" s="49"/>
      <c r="I34" s="50">
        <v>0</v>
      </c>
      <c r="J34" s="49"/>
    </row>
    <row r="35" spans="1:10" s="15" customFormat="1" ht="31.5" x14ac:dyDescent="0.2">
      <c r="A35" s="12" t="s">
        <v>25</v>
      </c>
      <c r="B35" s="60"/>
      <c r="C35" s="32"/>
      <c r="D35" s="38"/>
      <c r="E35" s="32"/>
      <c r="F35" s="38"/>
      <c r="G35" s="32"/>
      <c r="H35" s="38"/>
      <c r="I35" s="32"/>
      <c r="J35" s="38"/>
    </row>
    <row r="36" spans="1:10" s="15" customFormat="1" ht="31.5" x14ac:dyDescent="0.2">
      <c r="A36" s="12" t="s">
        <v>24</v>
      </c>
      <c r="B36" s="60"/>
      <c r="C36" s="32"/>
      <c r="D36" s="38"/>
      <c r="E36" s="32"/>
      <c r="F36" s="38"/>
      <c r="G36" s="32"/>
      <c r="H36" s="38"/>
      <c r="I36" s="32"/>
      <c r="J36" s="38"/>
    </row>
    <row r="37" spans="1:10" s="15" customFormat="1" x14ac:dyDescent="0.2">
      <c r="A37" s="14" t="s">
        <v>23</v>
      </c>
      <c r="B37" s="48">
        <f>B38+B36</f>
        <v>192852.84000000003</v>
      </c>
      <c r="C37" s="37">
        <f>C38</f>
        <v>198779.272</v>
      </c>
      <c r="D37" s="38">
        <f t="shared" ref="D37:D88" si="4">C37/B37%</f>
        <v>103.07303330352822</v>
      </c>
      <c r="E37" s="37">
        <f>E38</f>
        <v>205907</v>
      </c>
      <c r="F37" s="38">
        <f t="shared" si="3"/>
        <v>103.58575012791073</v>
      </c>
      <c r="G37" s="37">
        <f>G38</f>
        <v>165859.90000000002</v>
      </c>
      <c r="H37" s="38">
        <f t="shared" si="3"/>
        <v>80.550879766108011</v>
      </c>
      <c r="I37" s="37">
        <f>I38</f>
        <v>167303.40000000002</v>
      </c>
      <c r="J37" s="38">
        <f t="shared" si="3"/>
        <v>100.87031283631548</v>
      </c>
    </row>
    <row r="38" spans="1:10" s="15" customFormat="1" ht="31.5" x14ac:dyDescent="0.2">
      <c r="A38" s="16" t="s">
        <v>22</v>
      </c>
      <c r="B38" s="48">
        <f>B40+B43+B55+B66</f>
        <v>192852.84000000003</v>
      </c>
      <c r="C38" s="37">
        <f>C40+C43+C55+C66</f>
        <v>198779.272</v>
      </c>
      <c r="D38" s="38">
        <f>C38/B38%</f>
        <v>103.07303330352822</v>
      </c>
      <c r="E38" s="37">
        <f>E40+E43+E55+E66</f>
        <v>205907</v>
      </c>
      <c r="F38" s="38">
        <f t="shared" si="3"/>
        <v>103.58575012791073</v>
      </c>
      <c r="G38" s="37">
        <f>G40+G43+G55+G66</f>
        <v>165859.90000000002</v>
      </c>
      <c r="H38" s="38">
        <f t="shared" si="3"/>
        <v>80.550879766108011</v>
      </c>
      <c r="I38" s="37">
        <f>I40+I43+I55+I66</f>
        <v>167303.40000000002</v>
      </c>
      <c r="J38" s="38">
        <f t="shared" si="3"/>
        <v>100.87031283631548</v>
      </c>
    </row>
    <row r="39" spans="1:10" s="15" customFormat="1" x14ac:dyDescent="0.2">
      <c r="A39" s="16" t="s">
        <v>21</v>
      </c>
      <c r="B39" s="46"/>
      <c r="C39" s="40"/>
      <c r="D39" s="38"/>
      <c r="E39" s="40"/>
      <c r="F39" s="38"/>
      <c r="G39" s="40"/>
      <c r="H39" s="38"/>
      <c r="I39" s="40"/>
      <c r="J39" s="38"/>
    </row>
    <row r="40" spans="1:10" s="19" customFormat="1" x14ac:dyDescent="0.2">
      <c r="A40" s="18" t="s">
        <v>20</v>
      </c>
      <c r="B40" s="63">
        <f>SUM(B41:B42)</f>
        <v>44484</v>
      </c>
      <c r="C40" s="64">
        <f>SUM(C41:C42)</f>
        <v>45340</v>
      </c>
      <c r="D40" s="49">
        <f t="shared" si="4"/>
        <v>101.92428738422804</v>
      </c>
      <c r="E40" s="64">
        <f>SUM(E41:E42)</f>
        <v>52542</v>
      </c>
      <c r="F40" s="49">
        <f t="shared" si="3"/>
        <v>115.88442876047641</v>
      </c>
      <c r="G40" s="64">
        <f>SUM(G41:G42)</f>
        <v>28874</v>
      </c>
      <c r="H40" s="49">
        <f t="shared" si="3"/>
        <v>54.954131932549203</v>
      </c>
      <c r="I40" s="64">
        <f>SUM(I41:I42)</f>
        <v>21316.7</v>
      </c>
      <c r="J40" s="49">
        <f t="shared" si="3"/>
        <v>73.826626030338716</v>
      </c>
    </row>
    <row r="41" spans="1:10" s="15" customFormat="1" ht="31.5" x14ac:dyDescent="0.2">
      <c r="A41" s="16" t="s">
        <v>19</v>
      </c>
      <c r="B41" s="46">
        <v>30773</v>
      </c>
      <c r="C41" s="40">
        <v>33102</v>
      </c>
      <c r="D41" s="38">
        <f t="shared" si="4"/>
        <v>107.56832288044714</v>
      </c>
      <c r="E41" s="40">
        <v>48665</v>
      </c>
      <c r="F41" s="38">
        <f>E41/C41%</f>
        <v>147.0152860854329</v>
      </c>
      <c r="G41" s="40">
        <v>25191</v>
      </c>
      <c r="H41" s="38">
        <f t="shared" si="3"/>
        <v>51.764101510325702</v>
      </c>
      <c r="I41" s="40">
        <v>17633.7</v>
      </c>
      <c r="J41" s="38">
        <f t="shared" si="3"/>
        <v>70</v>
      </c>
    </row>
    <row r="42" spans="1:10" s="15" customFormat="1" ht="31.5" x14ac:dyDescent="0.2">
      <c r="A42" s="16" t="s">
        <v>18</v>
      </c>
      <c r="B42" s="46">
        <v>13711</v>
      </c>
      <c r="C42" s="40">
        <v>12238</v>
      </c>
      <c r="D42" s="38">
        <f t="shared" si="4"/>
        <v>89.256801108598921</v>
      </c>
      <c r="E42" s="40">
        <v>3877</v>
      </c>
      <c r="F42" s="38">
        <f t="shared" si="3"/>
        <v>31.680013074031706</v>
      </c>
      <c r="G42" s="65">
        <v>3683</v>
      </c>
      <c r="H42" s="38">
        <f t="shared" si="3"/>
        <v>94.996131029146241</v>
      </c>
      <c r="I42" s="65">
        <v>3683</v>
      </c>
      <c r="J42" s="38">
        <f t="shared" si="3"/>
        <v>100</v>
      </c>
    </row>
    <row r="43" spans="1:10" s="19" customFormat="1" ht="31.5" x14ac:dyDescent="0.2">
      <c r="A43" s="16" t="s">
        <v>56</v>
      </c>
      <c r="B43" s="48">
        <f>SUM(B44:B49)</f>
        <v>16446.730000000003</v>
      </c>
      <c r="C43" s="37">
        <f>SUM(C44:C49)</f>
        <v>20598.061000000002</v>
      </c>
      <c r="D43" s="45">
        <f t="shared" si="4"/>
        <v>125.24107223745996</v>
      </c>
      <c r="E43" s="37">
        <f>SUM(E44:E54)</f>
        <v>15981.6</v>
      </c>
      <c r="F43" s="45">
        <f t="shared" si="3"/>
        <v>77.587885578161945</v>
      </c>
      <c r="G43" s="37">
        <f>SUM(G44:G54)</f>
        <v>12754</v>
      </c>
      <c r="H43" s="37">
        <f>SUM(H44:H54)</f>
        <v>200</v>
      </c>
      <c r="I43" s="37">
        <f>SUM(I44:I54)</f>
        <v>12754</v>
      </c>
      <c r="J43" s="45">
        <f t="shared" si="3"/>
        <v>100</v>
      </c>
    </row>
    <row r="44" spans="1:10" s="19" customFormat="1" ht="57.75" customHeight="1" x14ac:dyDescent="0.2">
      <c r="A44" s="16" t="s">
        <v>85</v>
      </c>
      <c r="B44" s="66">
        <v>128</v>
      </c>
      <c r="C44" s="37">
        <v>316.8</v>
      </c>
      <c r="D44" s="38">
        <v>0</v>
      </c>
      <c r="E44" s="40"/>
      <c r="F44" s="38">
        <v>95.309769902793164</v>
      </c>
      <c r="G44" s="40"/>
      <c r="H44" s="38"/>
      <c r="I44" s="40"/>
      <c r="J44" s="38"/>
    </row>
    <row r="45" spans="1:10" s="19" customFormat="1" ht="78.75" x14ac:dyDescent="0.2">
      <c r="A45" s="16" t="s">
        <v>68</v>
      </c>
      <c r="B45" s="67">
        <v>2571.0390000000002</v>
      </c>
      <c r="C45" s="40">
        <v>2198</v>
      </c>
      <c r="D45" s="38">
        <f t="shared" si="4"/>
        <v>85.490729623315701</v>
      </c>
      <c r="E45" s="40"/>
      <c r="F45" s="38">
        <f>E45/C45%</f>
        <v>0</v>
      </c>
      <c r="G45" s="40"/>
      <c r="H45" s="38"/>
      <c r="I45" s="40"/>
      <c r="J45" s="38"/>
    </row>
    <row r="46" spans="1:10" s="19" customFormat="1" ht="47.25" x14ac:dyDescent="0.2">
      <c r="A46" s="16" t="s">
        <v>69</v>
      </c>
      <c r="B46" s="68">
        <v>3238.3739999999998</v>
      </c>
      <c r="C46" s="40">
        <v>1363.9</v>
      </c>
      <c r="D46" s="42">
        <v>0</v>
      </c>
      <c r="E46" s="40">
        <v>3227.6</v>
      </c>
      <c r="F46" s="38">
        <v>0</v>
      </c>
      <c r="G46" s="40"/>
      <c r="H46" s="38"/>
      <c r="I46" s="40"/>
      <c r="J46" s="38">
        <v>0</v>
      </c>
    </row>
    <row r="47" spans="1:10" s="19" customFormat="1" ht="47.25" x14ac:dyDescent="0.2">
      <c r="A47" s="16" t="s">
        <v>70</v>
      </c>
      <c r="B47" s="69"/>
      <c r="C47" s="40">
        <v>2021</v>
      </c>
      <c r="D47" s="38"/>
      <c r="E47" s="40">
        <v>2021</v>
      </c>
      <c r="F47" s="38">
        <f>E47/C47%</f>
        <v>100</v>
      </c>
      <c r="G47" s="40">
        <v>2021</v>
      </c>
      <c r="H47" s="38">
        <f>G47/E47%</f>
        <v>100</v>
      </c>
      <c r="I47" s="40">
        <v>2021</v>
      </c>
      <c r="J47" s="38">
        <f>I47/G47%</f>
        <v>100</v>
      </c>
    </row>
    <row r="48" spans="1:10" s="19" customFormat="1" ht="26.25" customHeight="1" x14ac:dyDescent="0.2">
      <c r="A48" s="16" t="s">
        <v>86</v>
      </c>
      <c r="B48" s="69">
        <v>4825.13</v>
      </c>
      <c r="C48" s="40"/>
      <c r="D48" s="38"/>
      <c r="E48" s="40"/>
      <c r="F48" s="38"/>
      <c r="G48" s="40"/>
      <c r="H48" s="38"/>
      <c r="I48" s="40"/>
      <c r="J48" s="38"/>
    </row>
    <row r="49" spans="1:10" s="19" customFormat="1" x14ac:dyDescent="0.2">
      <c r="A49" s="16" t="s">
        <v>71</v>
      </c>
      <c r="B49" s="69">
        <f>SUM(B50:B54)</f>
        <v>5684.1869999999999</v>
      </c>
      <c r="C49" s="40">
        <f>C51+C52+C53</f>
        <v>14698.361000000001</v>
      </c>
      <c r="D49" s="42">
        <f>C49/B49%</f>
        <v>258.58334709959405</v>
      </c>
      <c r="E49" s="40"/>
      <c r="F49" s="42">
        <f>E49/C49%</f>
        <v>0</v>
      </c>
      <c r="G49" s="40"/>
      <c r="H49" s="42"/>
      <c r="I49" s="40"/>
      <c r="J49" s="42"/>
    </row>
    <row r="50" spans="1:10" s="19" customFormat="1" ht="47.25" x14ac:dyDescent="0.2">
      <c r="A50" s="16" t="s">
        <v>90</v>
      </c>
      <c r="B50" s="68"/>
      <c r="C50" s="40"/>
      <c r="D50" s="42">
        <v>0</v>
      </c>
      <c r="E50" s="40">
        <v>401</v>
      </c>
      <c r="F50" s="38">
        <v>0</v>
      </c>
      <c r="G50" s="40">
        <v>401</v>
      </c>
      <c r="H50" s="38">
        <f>G50/E50%</f>
        <v>100</v>
      </c>
      <c r="I50" s="40">
        <v>401</v>
      </c>
      <c r="J50" s="38">
        <f>I50/G50%</f>
        <v>100</v>
      </c>
    </row>
    <row r="51" spans="1:10" s="19" customFormat="1" ht="47.25" x14ac:dyDescent="0.2">
      <c r="A51" s="16" t="s">
        <v>72</v>
      </c>
      <c r="B51" s="68"/>
      <c r="C51" s="40">
        <v>301</v>
      </c>
      <c r="D51" s="42"/>
      <c r="E51" s="40"/>
      <c r="F51" s="42"/>
      <c r="G51" s="40"/>
      <c r="H51" s="42"/>
      <c r="I51" s="40"/>
      <c r="J51" s="42"/>
    </row>
    <row r="52" spans="1:10" s="19" customFormat="1" ht="63.75" customHeight="1" x14ac:dyDescent="0.2">
      <c r="A52" s="16" t="s">
        <v>73</v>
      </c>
      <c r="B52" s="68">
        <v>5684.1869999999999</v>
      </c>
      <c r="C52" s="40">
        <v>9823</v>
      </c>
      <c r="D52" s="42">
        <v>0</v>
      </c>
      <c r="E52" s="40">
        <v>10332</v>
      </c>
      <c r="F52" s="42">
        <v>0</v>
      </c>
      <c r="G52" s="40">
        <v>10332</v>
      </c>
      <c r="H52" s="42">
        <v>0</v>
      </c>
      <c r="I52" s="40">
        <v>10332</v>
      </c>
      <c r="J52" s="42">
        <v>0</v>
      </c>
    </row>
    <row r="53" spans="1:10" s="19" customFormat="1" ht="43.5" customHeight="1" x14ac:dyDescent="0.2">
      <c r="A53" s="16" t="s">
        <v>89</v>
      </c>
      <c r="B53" s="68"/>
      <c r="C53" s="40">
        <v>4574.3609999999999</v>
      </c>
      <c r="D53" s="42"/>
      <c r="E53" s="40"/>
      <c r="F53" s="42"/>
      <c r="G53" s="40"/>
      <c r="H53" s="42"/>
      <c r="I53" s="40"/>
      <c r="J53" s="42"/>
    </row>
    <row r="54" spans="1:10" s="19" customFormat="1" ht="32.25" hidden="1" customHeight="1" x14ac:dyDescent="0.2">
      <c r="A54" s="16" t="s">
        <v>96</v>
      </c>
      <c r="B54" s="68"/>
      <c r="C54" s="40"/>
      <c r="D54" s="42">
        <v>0</v>
      </c>
      <c r="E54" s="40"/>
      <c r="F54" s="42">
        <v>0</v>
      </c>
      <c r="G54" s="40"/>
      <c r="H54" s="42">
        <v>0</v>
      </c>
      <c r="I54" s="40"/>
      <c r="J54" s="42">
        <v>0</v>
      </c>
    </row>
    <row r="55" spans="1:10" s="19" customFormat="1" ht="31.5" x14ac:dyDescent="0.2">
      <c r="A55" s="16" t="s">
        <v>57</v>
      </c>
      <c r="B55" s="37">
        <f>SUM(B56:B64)</f>
        <v>127442.41</v>
      </c>
      <c r="C55" s="37">
        <f>SUM(C56:C64)</f>
        <v>124497.41099999999</v>
      </c>
      <c r="D55" s="45">
        <f t="shared" si="4"/>
        <v>97.689153084911055</v>
      </c>
      <c r="E55" s="37">
        <f>SUM(E56:E64)</f>
        <v>137055.4</v>
      </c>
      <c r="F55" s="45">
        <f t="shared" si="3"/>
        <v>110.08694791251523</v>
      </c>
      <c r="G55" s="37">
        <f>SUM(G56:G64)</f>
        <v>124231.90000000001</v>
      </c>
      <c r="H55" s="45">
        <f>SUM(H56:H67)</f>
        <v>1320.9999999999998</v>
      </c>
      <c r="I55" s="37">
        <f>SUM(I56:I64)</f>
        <v>133232.70000000001</v>
      </c>
      <c r="J55" s="45">
        <f t="shared" si="3"/>
        <v>107.24516005953382</v>
      </c>
    </row>
    <row r="56" spans="1:10" s="19" customFormat="1" ht="47.25" x14ac:dyDescent="0.2">
      <c r="A56" s="16" t="s">
        <v>58</v>
      </c>
      <c r="B56" s="46">
        <v>1901.229</v>
      </c>
      <c r="C56" s="40">
        <v>1310</v>
      </c>
      <c r="D56" s="42">
        <f t="shared" si="4"/>
        <v>68.902799189366462</v>
      </c>
      <c r="E56" s="40">
        <v>1775</v>
      </c>
      <c r="F56" s="42">
        <f t="shared" si="3"/>
        <v>135.49618320610688</v>
      </c>
      <c r="G56" s="40">
        <v>1775</v>
      </c>
      <c r="H56" s="42">
        <f t="shared" si="3"/>
        <v>100</v>
      </c>
      <c r="I56" s="40">
        <v>1775</v>
      </c>
      <c r="J56" s="42">
        <f t="shared" si="3"/>
        <v>100</v>
      </c>
    </row>
    <row r="57" spans="1:10" s="19" customFormat="1" ht="35.25" customHeight="1" x14ac:dyDescent="0.2">
      <c r="A57" s="16" t="s">
        <v>59</v>
      </c>
      <c r="B57" s="46">
        <v>102392.124</v>
      </c>
      <c r="C57" s="40">
        <v>116599.174</v>
      </c>
      <c r="D57" s="42">
        <f t="shared" si="4"/>
        <v>113.87513945896855</v>
      </c>
      <c r="E57" s="40">
        <v>131068</v>
      </c>
      <c r="F57" s="42">
        <f t="shared" si="3"/>
        <v>112.40902958712212</v>
      </c>
      <c r="G57" s="40">
        <v>118216.2</v>
      </c>
      <c r="H57" s="42"/>
      <c r="I57" s="40">
        <v>127311.7</v>
      </c>
      <c r="J57" s="42">
        <f t="shared" si="3"/>
        <v>107.69395395893287</v>
      </c>
    </row>
    <row r="58" spans="1:10" s="19" customFormat="1" ht="63" x14ac:dyDescent="0.2">
      <c r="A58" s="16" t="s">
        <v>74</v>
      </c>
      <c r="B58" s="69">
        <v>6484.1310000000003</v>
      </c>
      <c r="C58" s="46">
        <v>2679.2069999999999</v>
      </c>
      <c r="D58" s="42">
        <f t="shared" si="4"/>
        <v>41.319445890281976</v>
      </c>
      <c r="E58" s="40">
        <v>18.8</v>
      </c>
      <c r="F58" s="42">
        <f t="shared" si="3"/>
        <v>0.70170016725098139</v>
      </c>
      <c r="G58" s="40">
        <v>0</v>
      </c>
      <c r="H58" s="42">
        <f t="shared" si="3"/>
        <v>0</v>
      </c>
      <c r="I58" s="40">
        <v>0</v>
      </c>
      <c r="J58" s="42">
        <v>0</v>
      </c>
    </row>
    <row r="59" spans="1:10" s="19" customFormat="1" ht="63" x14ac:dyDescent="0.2">
      <c r="A59" s="16" t="s">
        <v>75</v>
      </c>
      <c r="B59" s="67">
        <v>16.2</v>
      </c>
      <c r="C59" s="40">
        <v>6</v>
      </c>
      <c r="D59" s="42">
        <f t="shared" si="4"/>
        <v>37.037037037037038</v>
      </c>
      <c r="E59" s="40">
        <v>10</v>
      </c>
      <c r="F59" s="42">
        <f t="shared" si="3"/>
        <v>166.66666666666669</v>
      </c>
      <c r="G59" s="40">
        <v>122.1</v>
      </c>
      <c r="H59" s="42">
        <f t="shared" si="3"/>
        <v>1220.9999999999998</v>
      </c>
      <c r="I59" s="40">
        <v>13.4</v>
      </c>
      <c r="J59" s="42">
        <f t="shared" si="3"/>
        <v>10.974610974610977</v>
      </c>
    </row>
    <row r="60" spans="1:10" s="19" customFormat="1" ht="47.25" x14ac:dyDescent="0.2">
      <c r="A60" s="16" t="s">
        <v>76</v>
      </c>
      <c r="B60" s="67">
        <v>13824.956</v>
      </c>
      <c r="C60" s="40"/>
      <c r="D60" s="42">
        <f t="shared" si="4"/>
        <v>0</v>
      </c>
      <c r="E60" s="40"/>
      <c r="F60" s="42"/>
      <c r="G60" s="40"/>
      <c r="H60" s="42"/>
      <c r="I60" s="40"/>
      <c r="J60" s="42"/>
    </row>
    <row r="61" spans="1:10" s="19" customFormat="1" ht="31.5" x14ac:dyDescent="0.2">
      <c r="A61" s="16" t="s">
        <v>77</v>
      </c>
      <c r="B61" s="67">
        <v>2576.9699999999998</v>
      </c>
      <c r="C61" s="40">
        <v>1815</v>
      </c>
      <c r="D61" s="42">
        <f t="shared" si="4"/>
        <v>70.431553335894492</v>
      </c>
      <c r="E61" s="40">
        <v>1500</v>
      </c>
      <c r="F61" s="42">
        <f t="shared" si="3"/>
        <v>82.644628099173559</v>
      </c>
      <c r="G61" s="40">
        <v>1400</v>
      </c>
      <c r="H61" s="42"/>
      <c r="I61" s="40">
        <v>1400</v>
      </c>
      <c r="J61" s="42">
        <f t="shared" si="3"/>
        <v>100</v>
      </c>
    </row>
    <row r="62" spans="1:10" s="19" customFormat="1" ht="63" hidden="1" x14ac:dyDescent="0.2">
      <c r="A62" s="16" t="s">
        <v>78</v>
      </c>
      <c r="B62" s="67"/>
      <c r="C62" s="46"/>
      <c r="D62" s="42" t="e">
        <f t="shared" si="4"/>
        <v>#DIV/0!</v>
      </c>
      <c r="E62" s="40"/>
      <c r="F62" s="42" t="e">
        <f t="shared" si="3"/>
        <v>#DIV/0!</v>
      </c>
      <c r="G62" s="40"/>
      <c r="H62" s="42"/>
      <c r="I62" s="40"/>
      <c r="J62" s="42" t="e">
        <f t="shared" si="3"/>
        <v>#DIV/0!</v>
      </c>
    </row>
    <row r="63" spans="1:10" s="15" customFormat="1" ht="27.75" customHeight="1" x14ac:dyDescent="0.2">
      <c r="A63" s="16" t="s">
        <v>79</v>
      </c>
      <c r="B63" s="67">
        <v>246.8</v>
      </c>
      <c r="C63" s="40">
        <v>249.8</v>
      </c>
      <c r="D63" s="42">
        <f t="shared" si="4"/>
        <v>101.21555915721233</v>
      </c>
      <c r="E63" s="40">
        <v>335.6</v>
      </c>
      <c r="F63" s="42">
        <f t="shared" si="3"/>
        <v>134.3474779823859</v>
      </c>
      <c r="G63" s="40">
        <v>370.6</v>
      </c>
      <c r="H63" s="42">
        <v>0</v>
      </c>
      <c r="I63" s="40">
        <v>384.6</v>
      </c>
      <c r="J63" s="42">
        <v>0</v>
      </c>
    </row>
    <row r="64" spans="1:10" s="15" customFormat="1" ht="63" x14ac:dyDescent="0.2">
      <c r="A64" s="16" t="s">
        <v>80</v>
      </c>
      <c r="B64" s="67"/>
      <c r="C64" s="40">
        <v>1838.23</v>
      </c>
      <c r="D64" s="42">
        <v>0</v>
      </c>
      <c r="E64" s="40">
        <v>2348</v>
      </c>
      <c r="F64" s="42">
        <f t="shared" si="3"/>
        <v>127.73156786691546</v>
      </c>
      <c r="G64" s="40">
        <v>2348</v>
      </c>
      <c r="H64" s="42"/>
      <c r="I64" s="40">
        <v>2348</v>
      </c>
      <c r="J64" s="42">
        <f t="shared" si="3"/>
        <v>100</v>
      </c>
    </row>
    <row r="65" spans="1:211" s="15" customFormat="1" ht="63" hidden="1" x14ac:dyDescent="0.2">
      <c r="A65" s="16" t="s">
        <v>81</v>
      </c>
      <c r="B65" s="68"/>
      <c r="C65" s="40"/>
      <c r="D65" s="42"/>
      <c r="E65" s="40"/>
      <c r="F65" s="42"/>
      <c r="G65" s="40"/>
      <c r="H65" s="42"/>
      <c r="I65" s="40"/>
      <c r="J65" s="42"/>
    </row>
    <row r="66" spans="1:211" s="15" customFormat="1" x14ac:dyDescent="0.2">
      <c r="A66" s="16" t="s">
        <v>65</v>
      </c>
      <c r="B66" s="70">
        <f>B67+B68</f>
        <v>4479.7</v>
      </c>
      <c r="C66" s="37">
        <f>SUM(C67:C68)</f>
        <v>8343.7999999999993</v>
      </c>
      <c r="D66" s="37">
        <f t="shared" ref="D66:J66" si="5">SUM(D67:D68)</f>
        <v>205.0906497709756</v>
      </c>
      <c r="E66" s="37">
        <f t="shared" si="5"/>
        <v>328</v>
      </c>
      <c r="F66" s="37">
        <f t="shared" si="5"/>
        <v>37.857802400738692</v>
      </c>
      <c r="G66" s="37">
        <f t="shared" si="5"/>
        <v>0</v>
      </c>
      <c r="H66" s="37">
        <f t="shared" si="5"/>
        <v>0</v>
      </c>
      <c r="I66" s="37">
        <f t="shared" si="5"/>
        <v>0</v>
      </c>
      <c r="J66" s="37">
        <f t="shared" si="5"/>
        <v>0</v>
      </c>
    </row>
    <row r="67" spans="1:211" s="15" customFormat="1" ht="78.75" x14ac:dyDescent="0.2">
      <c r="A67" s="16" t="s">
        <v>82</v>
      </c>
      <c r="B67" s="68">
        <v>3645.9</v>
      </c>
      <c r="C67" s="40">
        <v>7477.4</v>
      </c>
      <c r="D67" s="42">
        <f t="shared" si="4"/>
        <v>205.0906497709756</v>
      </c>
      <c r="E67" s="40"/>
      <c r="F67" s="42">
        <f t="shared" si="3"/>
        <v>0</v>
      </c>
      <c r="G67" s="40"/>
      <c r="H67" s="42"/>
      <c r="I67" s="40"/>
      <c r="J67" s="42"/>
    </row>
    <row r="68" spans="1:211" s="15" customFormat="1" ht="63" x14ac:dyDescent="0.2">
      <c r="A68" s="16" t="s">
        <v>83</v>
      </c>
      <c r="B68" s="68">
        <v>833.8</v>
      </c>
      <c r="C68" s="40">
        <v>866.4</v>
      </c>
      <c r="D68" s="42">
        <v>0</v>
      </c>
      <c r="E68" s="40">
        <v>328</v>
      </c>
      <c r="F68" s="42">
        <f t="shared" si="3"/>
        <v>37.857802400738692</v>
      </c>
      <c r="G68" s="40"/>
      <c r="H68" s="42"/>
      <c r="I68" s="40"/>
      <c r="J68" s="42"/>
    </row>
    <row r="69" spans="1:211" s="15" customFormat="1" ht="31.5" hidden="1" x14ac:dyDescent="0.2">
      <c r="A69" s="16" t="s">
        <v>17</v>
      </c>
      <c r="B69" s="46"/>
      <c r="C69" s="40"/>
      <c r="D69" s="38"/>
      <c r="E69" s="40"/>
      <c r="F69" s="38"/>
      <c r="G69" s="40"/>
      <c r="H69" s="38"/>
      <c r="I69" s="40"/>
      <c r="J69" s="38"/>
      <c r="HC69" s="17">
        <v>153900.098</v>
      </c>
    </row>
    <row r="70" spans="1:211" s="15" customFormat="1" ht="31.5" hidden="1" x14ac:dyDescent="0.2">
      <c r="A70" s="16" t="s">
        <v>16</v>
      </c>
      <c r="B70" s="46"/>
      <c r="C70" s="40"/>
      <c r="D70" s="38"/>
      <c r="E70" s="40"/>
      <c r="F70" s="38"/>
      <c r="G70" s="40"/>
      <c r="H70" s="38"/>
      <c r="I70" s="40"/>
      <c r="J70" s="38"/>
    </row>
    <row r="71" spans="1:211" s="13" customFormat="1" x14ac:dyDescent="0.2">
      <c r="A71" s="14" t="s">
        <v>15</v>
      </c>
      <c r="B71" s="48">
        <f>B33+B37</f>
        <v>231908.28000000003</v>
      </c>
      <c r="C71" s="37">
        <f>C33+C37</f>
        <v>244158.272</v>
      </c>
      <c r="D71" s="49">
        <f t="shared" si="4"/>
        <v>105.28225727861032</v>
      </c>
      <c r="E71" s="37">
        <f>E33+E37</f>
        <v>255201</v>
      </c>
      <c r="F71" s="49">
        <f t="shared" si="3"/>
        <v>104.522774473109</v>
      </c>
      <c r="G71" s="37">
        <f>G33+G37</f>
        <v>221812.90000000002</v>
      </c>
      <c r="H71" s="49">
        <f t="shared" si="3"/>
        <v>86.916939980642709</v>
      </c>
      <c r="I71" s="57">
        <f>I33+I37</f>
        <v>235172.40000000002</v>
      </c>
      <c r="J71" s="49">
        <f t="shared" si="3"/>
        <v>106.02286882322893</v>
      </c>
    </row>
    <row r="72" spans="1:211" s="11" customFormat="1" ht="11.25" customHeight="1" x14ac:dyDescent="0.2">
      <c r="A72" s="12"/>
      <c r="B72" s="50"/>
      <c r="C72" s="50"/>
      <c r="D72" s="38"/>
      <c r="E72" s="50"/>
      <c r="F72" s="38"/>
      <c r="G72" s="50"/>
      <c r="H72" s="38"/>
      <c r="I72" s="50"/>
      <c r="J72" s="38"/>
    </row>
    <row r="73" spans="1:211" s="6" customFormat="1" x14ac:dyDescent="0.2">
      <c r="A73" s="5" t="s">
        <v>14</v>
      </c>
      <c r="B73" s="50">
        <f>B34+B71-B92</f>
        <v>11002.70100000003</v>
      </c>
      <c r="C73" s="50">
        <f>C34+C71-C92</f>
        <v>-1919.6276300000318</v>
      </c>
      <c r="D73" s="49"/>
      <c r="E73" s="50">
        <f>E71-E92</f>
        <v>3426.4999999999709</v>
      </c>
      <c r="F73" s="49"/>
      <c r="G73" s="50">
        <f>G71-G92</f>
        <v>0</v>
      </c>
      <c r="H73" s="49"/>
      <c r="I73" s="50">
        <f>I71-I92</f>
        <v>0</v>
      </c>
      <c r="J73" s="49"/>
    </row>
    <row r="74" spans="1:211" s="6" customFormat="1" x14ac:dyDescent="0.2">
      <c r="A74" s="8" t="s">
        <v>13</v>
      </c>
      <c r="B74" s="51">
        <f>B71/B33</f>
        <v>5.9379251648425937</v>
      </c>
      <c r="C74" s="51">
        <f>C71/C33</f>
        <v>5.3804242491020071</v>
      </c>
      <c r="D74" s="38"/>
      <c r="E74" s="51">
        <f>E71/E33</f>
        <v>5.1771209477826918</v>
      </c>
      <c r="F74" s="38"/>
      <c r="G74" s="51">
        <f>G71/G33</f>
        <v>3.9642717995460481</v>
      </c>
      <c r="H74" s="38"/>
      <c r="I74" s="51">
        <f>I71/I33</f>
        <v>3.4650930468991739</v>
      </c>
      <c r="J74" s="38"/>
    </row>
    <row r="75" spans="1:211" s="6" customFormat="1" x14ac:dyDescent="0.2">
      <c r="A75" s="10"/>
      <c r="B75" s="32"/>
      <c r="C75" s="32"/>
      <c r="D75" s="38"/>
      <c r="E75" s="32"/>
      <c r="F75" s="38"/>
      <c r="G75" s="32"/>
      <c r="H75" s="38"/>
      <c r="I75" s="32"/>
      <c r="J75" s="38"/>
    </row>
    <row r="76" spans="1:211" s="6" customFormat="1" x14ac:dyDescent="0.2">
      <c r="A76" s="9" t="s">
        <v>12</v>
      </c>
      <c r="B76" s="32"/>
      <c r="C76" s="32"/>
      <c r="D76" s="38"/>
      <c r="E76" s="32"/>
      <c r="F76" s="38"/>
      <c r="G76" s="32"/>
      <c r="H76" s="38"/>
      <c r="I76" s="32"/>
      <c r="J76" s="38"/>
    </row>
    <row r="77" spans="1:211" s="6" customFormat="1" x14ac:dyDescent="0.2">
      <c r="A77" s="5" t="s">
        <v>11</v>
      </c>
      <c r="B77" s="32">
        <v>32827.485000000001</v>
      </c>
      <c r="C77" s="32">
        <v>36049.212119999997</v>
      </c>
      <c r="D77" s="38">
        <f t="shared" si="4"/>
        <v>109.81411497103721</v>
      </c>
      <c r="E77" s="32">
        <f>27058.7+11739.2</f>
        <v>38797.9</v>
      </c>
      <c r="F77" s="38">
        <f t="shared" si="3"/>
        <v>107.62482095544895</v>
      </c>
      <c r="G77" s="32">
        <f>23438.2+10528.8</f>
        <v>33967</v>
      </c>
      <c r="H77" s="38">
        <f t="shared" si="3"/>
        <v>87.548552885594319</v>
      </c>
      <c r="I77" s="32">
        <f>23214.5+10851.9</f>
        <v>34066.400000000001</v>
      </c>
      <c r="J77" s="38">
        <f t="shared" si="3"/>
        <v>100.29263697117791</v>
      </c>
    </row>
    <row r="78" spans="1:211" s="6" customFormat="1" x14ac:dyDescent="0.2">
      <c r="A78" s="5" t="s">
        <v>10</v>
      </c>
      <c r="B78" s="32">
        <v>246.8</v>
      </c>
      <c r="C78" s="32">
        <v>249.8</v>
      </c>
      <c r="D78" s="38">
        <f t="shared" si="4"/>
        <v>101.21555915721233</v>
      </c>
      <c r="E78" s="32">
        <v>350.5</v>
      </c>
      <c r="F78" s="38">
        <f t="shared" si="3"/>
        <v>140.31224979983986</v>
      </c>
      <c r="G78" s="32">
        <v>370.6</v>
      </c>
      <c r="H78" s="38">
        <v>0</v>
      </c>
      <c r="I78" s="32">
        <v>384.6</v>
      </c>
      <c r="J78" s="38">
        <v>0</v>
      </c>
    </row>
    <row r="79" spans="1:211" s="6" customFormat="1" ht="31.5" x14ac:dyDescent="0.2">
      <c r="A79" s="8" t="s">
        <v>9</v>
      </c>
      <c r="B79" s="32">
        <v>3208</v>
      </c>
      <c r="C79" s="32">
        <v>2881.2806500000002</v>
      </c>
      <c r="D79" s="38">
        <f t="shared" si="4"/>
        <v>89.815481608478819</v>
      </c>
      <c r="E79" s="32">
        <f>3402.5+20</f>
        <v>3422.5</v>
      </c>
      <c r="F79" s="38">
        <f t="shared" si="3"/>
        <v>118.78398586406361</v>
      </c>
      <c r="G79" s="32">
        <f>2864.8+20</f>
        <v>2884.8</v>
      </c>
      <c r="H79" s="38">
        <f t="shared" si="3"/>
        <v>84.289262235208184</v>
      </c>
      <c r="I79" s="32">
        <f>2989.8+20</f>
        <v>3009.8</v>
      </c>
      <c r="J79" s="38">
        <f t="shared" si="3"/>
        <v>104.33305601774819</v>
      </c>
    </row>
    <row r="80" spans="1:211" s="6" customFormat="1" x14ac:dyDescent="0.2">
      <c r="A80" s="5" t="s">
        <v>8</v>
      </c>
      <c r="B80" s="32">
        <v>21191.486000000001</v>
      </c>
      <c r="C80" s="32">
        <v>30509.845229999999</v>
      </c>
      <c r="D80" s="38">
        <f>C80/B80%</f>
        <v>143.97218406486454</v>
      </c>
      <c r="E80" s="32">
        <f>25272.1+3230.5</f>
        <v>28502.6</v>
      </c>
      <c r="F80" s="38">
        <f t="shared" si="3"/>
        <v>93.420991765548862</v>
      </c>
      <c r="G80" s="32">
        <f>19401.1+2419.2-120</f>
        <v>21700.3</v>
      </c>
      <c r="H80" s="38">
        <v>124</v>
      </c>
      <c r="I80" s="32">
        <f>23454.1+2419.2-120</f>
        <v>25753.3</v>
      </c>
      <c r="J80" s="38">
        <f t="shared" si="3"/>
        <v>118.67716114523763</v>
      </c>
    </row>
    <row r="81" spans="1:213" s="6" customFormat="1" x14ac:dyDescent="0.2">
      <c r="A81" s="5" t="s">
        <v>7</v>
      </c>
      <c r="B81" s="32">
        <v>504</v>
      </c>
      <c r="C81" s="32">
        <v>7998.5600199999999</v>
      </c>
      <c r="D81" s="38">
        <f t="shared" si="4"/>
        <v>1587.0158769841269</v>
      </c>
      <c r="E81" s="32">
        <f>3754.6+1167</f>
        <v>4921.6000000000004</v>
      </c>
      <c r="F81" s="38">
        <f>E81/C81%</f>
        <v>61.531075439751476</v>
      </c>
      <c r="G81" s="32">
        <f>2252.7+1200</f>
        <v>3452.7</v>
      </c>
      <c r="H81" s="38">
        <f t="shared" si="3"/>
        <v>70.154014954486343</v>
      </c>
      <c r="I81" s="32">
        <f>3441.2+600</f>
        <v>4041.2</v>
      </c>
      <c r="J81" s="38">
        <f t="shared" si="3"/>
        <v>117.0446317374808</v>
      </c>
    </row>
    <row r="82" spans="1:213" s="6" customFormat="1" x14ac:dyDescent="0.2">
      <c r="A82" s="5" t="s">
        <v>6</v>
      </c>
      <c r="B82" s="32">
        <v>180</v>
      </c>
      <c r="C82" s="32">
        <v>8</v>
      </c>
      <c r="D82" s="38">
        <f t="shared" si="4"/>
        <v>4.4444444444444446</v>
      </c>
      <c r="E82" s="32">
        <v>250</v>
      </c>
      <c r="F82" s="38">
        <f t="shared" si="3"/>
        <v>3125</v>
      </c>
      <c r="G82" s="32">
        <v>300</v>
      </c>
      <c r="H82" s="38">
        <f t="shared" si="3"/>
        <v>120</v>
      </c>
      <c r="I82" s="32">
        <v>200</v>
      </c>
      <c r="J82" s="38">
        <v>0</v>
      </c>
    </row>
    <row r="83" spans="1:213" s="6" customFormat="1" x14ac:dyDescent="0.2">
      <c r="A83" s="5" t="s">
        <v>5</v>
      </c>
      <c r="B83" s="32">
        <v>124122.3</v>
      </c>
      <c r="C83" s="32">
        <v>145485.44415</v>
      </c>
      <c r="D83" s="38">
        <f t="shared" si="4"/>
        <v>117.21136665208428</v>
      </c>
      <c r="E83" s="32">
        <v>145988.5</v>
      </c>
      <c r="F83" s="38">
        <f t="shared" si="3"/>
        <v>100.34577744388046</v>
      </c>
      <c r="G83" s="32">
        <v>132385.5</v>
      </c>
      <c r="H83" s="38">
        <f t="shared" si="3"/>
        <v>90.682142771519679</v>
      </c>
      <c r="I83" s="32">
        <v>140865.1</v>
      </c>
      <c r="J83" s="38">
        <f t="shared" si="3"/>
        <v>106.40523320152131</v>
      </c>
    </row>
    <row r="84" spans="1:213" s="6" customFormat="1" x14ac:dyDescent="0.2">
      <c r="A84" s="5" t="s">
        <v>61</v>
      </c>
      <c r="B84" s="32">
        <v>13521.01</v>
      </c>
      <c r="C84" s="32">
        <v>15619.29573</v>
      </c>
      <c r="D84" s="38">
        <f t="shared" si="4"/>
        <v>115.51870555528025</v>
      </c>
      <c r="E84" s="32">
        <f>2217.5+11670</f>
        <v>13887.5</v>
      </c>
      <c r="F84" s="38">
        <f t="shared" si="3"/>
        <v>88.912459563245633</v>
      </c>
      <c r="G84" s="32">
        <f>1814.3+12381</f>
        <v>14195.3</v>
      </c>
      <c r="H84" s="38">
        <f t="shared" si="3"/>
        <v>102.21638163816381</v>
      </c>
      <c r="I84" s="32">
        <f>1814.3+12381</f>
        <v>14195.3</v>
      </c>
      <c r="J84" s="38">
        <f t="shared" si="3"/>
        <v>99.999999999999986</v>
      </c>
    </row>
    <row r="85" spans="1:213" s="6" customFormat="1" x14ac:dyDescent="0.2">
      <c r="A85" s="5" t="s">
        <v>4</v>
      </c>
      <c r="B85" s="32">
        <v>229.6</v>
      </c>
      <c r="C85" s="32">
        <v>300</v>
      </c>
      <c r="D85" s="38">
        <f t="shared" si="4"/>
        <v>130.66202090592336</v>
      </c>
      <c r="E85" s="32">
        <v>402</v>
      </c>
      <c r="F85" s="38">
        <f t="shared" si="3"/>
        <v>134</v>
      </c>
      <c r="G85" s="32">
        <v>400</v>
      </c>
      <c r="H85" s="38">
        <f t="shared" si="3"/>
        <v>99.50248756218906</v>
      </c>
      <c r="I85" s="32">
        <v>500</v>
      </c>
      <c r="J85" s="38">
        <f t="shared" si="3"/>
        <v>125</v>
      </c>
    </row>
    <row r="86" spans="1:213" s="6" customFormat="1" x14ac:dyDescent="0.2">
      <c r="A86" s="5" t="s">
        <v>3</v>
      </c>
      <c r="B86" s="32">
        <v>30948.400000000001</v>
      </c>
      <c r="C86" s="32">
        <v>12622.121730000001</v>
      </c>
      <c r="D86" s="38">
        <f t="shared" si="4"/>
        <v>40.784408014630799</v>
      </c>
      <c r="E86" s="32">
        <f>12632.7+120</f>
        <v>12752.7</v>
      </c>
      <c r="F86" s="38">
        <f t="shared" si="3"/>
        <v>101.03451917825863</v>
      </c>
      <c r="G86" s="32">
        <f>11236.7+120</f>
        <v>11356.7</v>
      </c>
      <c r="H86" s="38">
        <f t="shared" si="3"/>
        <v>89.053298517176756</v>
      </c>
      <c r="I86" s="32">
        <f>11236.7+120</f>
        <v>11356.7</v>
      </c>
      <c r="J86" s="38">
        <f t="shared" si="3"/>
        <v>100</v>
      </c>
    </row>
    <row r="87" spans="1:213" s="6" customFormat="1" x14ac:dyDescent="0.2">
      <c r="A87" s="5" t="s">
        <v>2</v>
      </c>
      <c r="B87" s="32">
        <v>1264.9000000000001</v>
      </c>
      <c r="C87" s="32">
        <v>2107.1</v>
      </c>
      <c r="D87" s="38">
        <f t="shared" si="4"/>
        <v>166.58233852478455</v>
      </c>
      <c r="E87" s="52">
        <v>700</v>
      </c>
      <c r="F87" s="38">
        <f t="shared" si="3"/>
        <v>33.221014664705045</v>
      </c>
      <c r="G87" s="32">
        <v>700</v>
      </c>
      <c r="H87" s="38">
        <f t="shared" si="3"/>
        <v>100</v>
      </c>
      <c r="I87" s="32">
        <v>700</v>
      </c>
      <c r="J87" s="38">
        <v>0</v>
      </c>
    </row>
    <row r="88" spans="1:213" s="6" customFormat="1" x14ac:dyDescent="0.2">
      <c r="A88" s="5" t="s">
        <v>1</v>
      </c>
      <c r="B88" s="32">
        <v>125.8</v>
      </c>
      <c r="C88" s="32">
        <v>22</v>
      </c>
      <c r="D88" s="38">
        <f t="shared" si="4"/>
        <v>17.488076311605724</v>
      </c>
      <c r="E88" s="52">
        <v>60</v>
      </c>
      <c r="F88" s="38">
        <f t="shared" si="3"/>
        <v>272.72727272727275</v>
      </c>
      <c r="G88" s="32">
        <v>100</v>
      </c>
      <c r="H88" s="38">
        <f t="shared" si="3"/>
        <v>166.66666666666669</v>
      </c>
      <c r="I88" s="32">
        <v>100</v>
      </c>
      <c r="J88" s="38">
        <v>0</v>
      </c>
    </row>
    <row r="89" spans="1:213" s="6" customFormat="1" ht="38.25" customHeight="1" x14ac:dyDescent="0.2">
      <c r="A89" s="5" t="s">
        <v>84</v>
      </c>
      <c r="B89" s="32"/>
      <c r="C89" s="32"/>
      <c r="D89" s="38"/>
      <c r="E89" s="52"/>
      <c r="F89" s="38"/>
      <c r="G89" s="32"/>
      <c r="H89" s="38"/>
      <c r="I89" s="32"/>
      <c r="J89" s="38"/>
    </row>
    <row r="90" spans="1:213" s="6" customFormat="1" ht="47.25" x14ac:dyDescent="0.2">
      <c r="A90" s="5" t="s">
        <v>62</v>
      </c>
      <c r="B90" s="52"/>
      <c r="C90" s="32">
        <v>3227.9</v>
      </c>
      <c r="D90" s="38">
        <v>0</v>
      </c>
      <c r="E90" s="52">
        <f>286.2+1452.5</f>
        <v>1738.7</v>
      </c>
      <c r="F90" s="38">
        <f t="shared" si="3"/>
        <v>53.864741782583096</v>
      </c>
      <c r="G90" s="52"/>
      <c r="H90" s="38">
        <f t="shared" si="3"/>
        <v>0</v>
      </c>
      <c r="I90" s="52"/>
      <c r="J90" s="38">
        <v>0</v>
      </c>
    </row>
    <row r="91" spans="1:213" s="6" customFormat="1" x14ac:dyDescent="0.2">
      <c r="A91" s="5"/>
      <c r="B91" s="52"/>
      <c r="C91" s="52"/>
      <c r="D91" s="53"/>
      <c r="E91" s="52"/>
      <c r="F91" s="53"/>
      <c r="G91" s="52"/>
      <c r="H91" s="53"/>
      <c r="I91" s="52"/>
      <c r="J91" s="53"/>
    </row>
    <row r="92" spans="1:213" x14ac:dyDescent="0.25">
      <c r="A92" s="5" t="s">
        <v>0</v>
      </c>
      <c r="B92" s="54">
        <f>SUM(B77:B90)</f>
        <v>228369.78099999999</v>
      </c>
      <c r="C92" s="55">
        <f>SUM(C77:C90)</f>
        <v>257080.55963000003</v>
      </c>
      <c r="D92" s="56">
        <v>124.84773935280262</v>
      </c>
      <c r="E92" s="55">
        <f>SUM(E77:E90)</f>
        <v>251774.50000000003</v>
      </c>
      <c r="F92" s="56">
        <f>E92/C92%</f>
        <v>97.936032332574399</v>
      </c>
      <c r="G92" s="55">
        <f>SUM(G77:G90)</f>
        <v>221812.9</v>
      </c>
      <c r="H92" s="56">
        <f>G92/E92%</f>
        <v>88.099827424937772</v>
      </c>
      <c r="I92" s="55">
        <f>SUM(I77:I90)</f>
        <v>235172.40000000002</v>
      </c>
      <c r="J92" s="56">
        <f>I92/G92%</f>
        <v>106.02286882322896</v>
      </c>
    </row>
    <row r="93" spans="1:213" s="2" customFormat="1" x14ac:dyDescent="0.25">
      <c r="A93" s="3"/>
      <c r="C93" s="33"/>
      <c r="D93" s="7"/>
      <c r="E93" s="7"/>
      <c r="G93" s="7"/>
      <c r="I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</row>
    <row r="94" spans="1:213" s="2" customFormat="1" x14ac:dyDescent="0.25">
      <c r="A94" s="3"/>
      <c r="C94" s="33"/>
      <c r="D94" s="7"/>
      <c r="E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</row>
    <row r="95" spans="1:213" s="2" customFormat="1" x14ac:dyDescent="0.25">
      <c r="A95" s="3"/>
      <c r="C95" s="33"/>
      <c r="D95" s="7"/>
      <c r="E95" s="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</row>
    <row r="96" spans="1:213" s="2" customFormat="1" x14ac:dyDescent="0.25">
      <c r="A96" s="3"/>
      <c r="C96" s="33"/>
      <c r="D96" s="7"/>
      <c r="E96" s="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</row>
    <row r="97" spans="1:213" s="2" customFormat="1" x14ac:dyDescent="0.25">
      <c r="A97" s="3"/>
      <c r="C97" s="33"/>
      <c r="D97" s="7"/>
      <c r="E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</row>
    <row r="98" spans="1:213" s="2" customFormat="1" x14ac:dyDescent="0.25">
      <c r="A98" s="3"/>
      <c r="C98" s="33"/>
      <c r="D98" s="7"/>
      <c r="E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</row>
    <row r="99" spans="1:213" s="2" customFormat="1" x14ac:dyDescent="0.25">
      <c r="A99" s="3"/>
      <c r="C99" s="33"/>
      <c r="D99" s="7"/>
      <c r="E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</row>
    <row r="100" spans="1:213" s="2" customFormat="1" x14ac:dyDescent="0.25">
      <c r="A100" s="3"/>
      <c r="C100" s="33"/>
      <c r="D100" s="7"/>
      <c r="E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</row>
    <row r="101" spans="1:213" s="2" customFormat="1" x14ac:dyDescent="0.25">
      <c r="A101" s="3"/>
      <c r="C101" s="33"/>
      <c r="D101" s="7"/>
      <c r="E101" s="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</row>
    <row r="102" spans="1:213" s="2" customFormat="1" x14ac:dyDescent="0.25">
      <c r="A102" s="3"/>
      <c r="C102" s="33"/>
      <c r="D102" s="7"/>
      <c r="E102" s="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</row>
    <row r="103" spans="1:213" s="2" customFormat="1" x14ac:dyDescent="0.25">
      <c r="A103" s="3"/>
      <c r="C103" s="33"/>
      <c r="D103" s="7"/>
      <c r="E103" s="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</row>
    <row r="104" spans="1:213" s="2" customFormat="1" x14ac:dyDescent="0.25">
      <c r="A104" s="3"/>
      <c r="C104" s="33"/>
      <c r="D104" s="7"/>
      <c r="E104" s="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</row>
    <row r="105" spans="1:213" s="2" customFormat="1" x14ac:dyDescent="0.25">
      <c r="A105" s="3"/>
      <c r="C105" s="33"/>
      <c r="D105" s="7"/>
      <c r="E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</row>
    <row r="106" spans="1:213" s="2" customFormat="1" x14ac:dyDescent="0.25">
      <c r="A106" s="3"/>
      <c r="C106" s="33"/>
      <c r="D106" s="7"/>
      <c r="E106" s="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</row>
    <row r="107" spans="1:213" s="2" customFormat="1" x14ac:dyDescent="0.25">
      <c r="A107" s="3"/>
      <c r="C107" s="33"/>
      <c r="D107" s="7"/>
      <c r="E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</row>
    <row r="108" spans="1:213" s="2" customFormat="1" x14ac:dyDescent="0.25">
      <c r="A108" s="3"/>
      <c r="C108" s="33"/>
      <c r="D108" s="7"/>
      <c r="E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</row>
    <row r="109" spans="1:213" s="2" customFormat="1" x14ac:dyDescent="0.25">
      <c r="A109" s="3"/>
      <c r="C109" s="33"/>
      <c r="D109" s="4"/>
      <c r="E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</row>
    <row r="110" spans="1:213" s="2" customFormat="1" x14ac:dyDescent="0.25">
      <c r="A110" s="3"/>
      <c r="C110" s="3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</row>
    <row r="111" spans="1:213" s="2" customFormat="1" x14ac:dyDescent="0.25">
      <c r="A111" s="3"/>
      <c r="C111" s="3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</row>
    <row r="112" spans="1:213" s="2" customFormat="1" x14ac:dyDescent="0.25">
      <c r="A112" s="3"/>
      <c r="C112" s="3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</row>
    <row r="113" spans="1:213" s="2" customFormat="1" x14ac:dyDescent="0.25">
      <c r="A113" s="3"/>
      <c r="C113" s="3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</row>
    <row r="114" spans="1:213" s="2" customFormat="1" x14ac:dyDescent="0.25">
      <c r="A114" s="3"/>
      <c r="C114" s="3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</row>
    <row r="115" spans="1:213" s="2" customFormat="1" x14ac:dyDescent="0.25">
      <c r="A115" s="3"/>
      <c r="C115" s="3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</row>
    <row r="116" spans="1:213" s="2" customFormat="1" x14ac:dyDescent="0.25">
      <c r="A116" s="3"/>
      <c r="C116" s="3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</row>
    <row r="117" spans="1:213" s="2" customFormat="1" x14ac:dyDescent="0.25">
      <c r="A117" s="3"/>
      <c r="C117" s="3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</row>
    <row r="118" spans="1:213" s="2" customFormat="1" x14ac:dyDescent="0.25">
      <c r="A118" s="3"/>
      <c r="C118" s="3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</row>
    <row r="119" spans="1:213" s="2" customFormat="1" x14ac:dyDescent="0.25">
      <c r="A119" s="3"/>
      <c r="C119" s="3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</row>
    <row r="120" spans="1:213" s="2" customFormat="1" x14ac:dyDescent="0.25">
      <c r="A120" s="3"/>
      <c r="C120" s="3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</row>
    <row r="121" spans="1:213" s="2" customFormat="1" x14ac:dyDescent="0.25">
      <c r="A121" s="3"/>
      <c r="C121" s="3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</row>
    <row r="122" spans="1:213" s="2" customFormat="1" x14ac:dyDescent="0.25">
      <c r="A122" s="3"/>
      <c r="C122" s="3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</row>
    <row r="123" spans="1:213" s="2" customFormat="1" x14ac:dyDescent="0.25">
      <c r="A123" s="3"/>
      <c r="C123" s="3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</row>
    <row r="124" spans="1:213" s="2" customFormat="1" x14ac:dyDescent="0.25">
      <c r="A124" s="3"/>
      <c r="C124" s="3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</row>
    <row r="125" spans="1:213" s="2" customFormat="1" x14ac:dyDescent="0.25">
      <c r="A125" s="3"/>
      <c r="C125" s="3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</row>
    <row r="126" spans="1:213" s="2" customFormat="1" x14ac:dyDescent="0.25">
      <c r="A126" s="3"/>
      <c r="C126" s="3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</row>
    <row r="127" spans="1:213" s="2" customFormat="1" x14ac:dyDescent="0.25">
      <c r="A127" s="3"/>
      <c r="C127" s="3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</row>
    <row r="128" spans="1:213" s="2" customFormat="1" x14ac:dyDescent="0.25">
      <c r="A128" s="3"/>
      <c r="C128" s="3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</row>
    <row r="129" spans="1:213" s="2" customFormat="1" x14ac:dyDescent="0.25">
      <c r="A129" s="3"/>
      <c r="C129" s="3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</row>
    <row r="130" spans="1:213" s="2" customFormat="1" x14ac:dyDescent="0.25">
      <c r="A130" s="3"/>
      <c r="C130" s="3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</row>
    <row r="131" spans="1:213" s="2" customFormat="1" x14ac:dyDescent="0.25">
      <c r="A131" s="3"/>
      <c r="C131" s="3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</row>
    <row r="132" spans="1:213" s="2" customFormat="1" x14ac:dyDescent="0.25">
      <c r="A132" s="3"/>
      <c r="C132" s="3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</row>
    <row r="133" spans="1:213" s="2" customFormat="1" x14ac:dyDescent="0.25">
      <c r="A133" s="3"/>
      <c r="C133" s="3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</row>
    <row r="134" spans="1:213" s="2" customFormat="1" x14ac:dyDescent="0.25">
      <c r="A134" s="3"/>
      <c r="C134" s="3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</row>
    <row r="135" spans="1:213" s="2" customFormat="1" x14ac:dyDescent="0.25">
      <c r="A135" s="3"/>
      <c r="C135" s="3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</row>
    <row r="136" spans="1:213" s="2" customFormat="1" x14ac:dyDescent="0.25">
      <c r="A136" s="3"/>
      <c r="C136" s="3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</row>
    <row r="137" spans="1:213" s="2" customFormat="1" x14ac:dyDescent="0.25">
      <c r="A137" s="3"/>
      <c r="C137" s="3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</row>
    <row r="138" spans="1:213" s="2" customFormat="1" x14ac:dyDescent="0.25">
      <c r="A138" s="3"/>
      <c r="C138" s="3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</row>
    <row r="139" spans="1:213" s="2" customFormat="1" x14ac:dyDescent="0.25">
      <c r="A139" s="3"/>
      <c r="C139" s="3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</row>
    <row r="140" spans="1:213" s="2" customFormat="1" x14ac:dyDescent="0.25">
      <c r="A140" s="3"/>
      <c r="C140" s="3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</row>
    <row r="141" spans="1:213" s="2" customFormat="1" x14ac:dyDescent="0.25">
      <c r="A141" s="3"/>
      <c r="C141" s="3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</row>
    <row r="142" spans="1:213" s="2" customFormat="1" x14ac:dyDescent="0.25">
      <c r="A142" s="3"/>
      <c r="C142" s="3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</row>
    <row r="143" spans="1:213" s="2" customFormat="1" x14ac:dyDescent="0.25">
      <c r="A143" s="3"/>
      <c r="C143" s="3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</row>
    <row r="144" spans="1:213" s="2" customFormat="1" x14ac:dyDescent="0.25">
      <c r="A144" s="3"/>
      <c r="C144" s="3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</row>
    <row r="145" spans="1:213" s="2" customFormat="1" x14ac:dyDescent="0.25">
      <c r="A145" s="3"/>
      <c r="C145" s="3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</row>
    <row r="146" spans="1:213" s="2" customFormat="1" x14ac:dyDescent="0.25">
      <c r="A146" s="3"/>
      <c r="C146" s="3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</row>
    <row r="147" spans="1:213" s="2" customFormat="1" x14ac:dyDescent="0.25">
      <c r="A147" s="3"/>
      <c r="C147" s="3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</row>
    <row r="148" spans="1:213" s="2" customFormat="1" x14ac:dyDescent="0.25">
      <c r="A148" s="3"/>
      <c r="C148" s="3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</row>
    <row r="149" spans="1:213" s="2" customFormat="1" x14ac:dyDescent="0.25">
      <c r="A149" s="3"/>
      <c r="C149" s="3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</row>
    <row r="150" spans="1:213" s="2" customFormat="1" x14ac:dyDescent="0.25">
      <c r="A150" s="3"/>
      <c r="C150" s="3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</row>
    <row r="151" spans="1:213" s="2" customFormat="1" x14ac:dyDescent="0.25">
      <c r="A151" s="3"/>
      <c r="C151" s="3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</row>
    <row r="152" spans="1:213" s="2" customFormat="1" x14ac:dyDescent="0.25">
      <c r="A152" s="3"/>
      <c r="C152" s="3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</row>
    <row r="153" spans="1:213" s="2" customFormat="1" x14ac:dyDescent="0.25">
      <c r="A153" s="3"/>
      <c r="C153" s="3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</row>
    <row r="154" spans="1:213" s="2" customFormat="1" x14ac:dyDescent="0.25">
      <c r="A154" s="3"/>
      <c r="C154" s="3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</row>
    <row r="155" spans="1:213" s="2" customFormat="1" x14ac:dyDescent="0.25">
      <c r="A155" s="3"/>
      <c r="C155" s="3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</row>
    <row r="156" spans="1:213" s="2" customFormat="1" x14ac:dyDescent="0.25">
      <c r="A156" s="3"/>
      <c r="C156" s="3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</row>
    <row r="157" spans="1:213" s="2" customFormat="1" x14ac:dyDescent="0.25">
      <c r="A157" s="3"/>
      <c r="C157" s="3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</row>
    <row r="158" spans="1:213" s="2" customFormat="1" x14ac:dyDescent="0.25">
      <c r="A158" s="3"/>
      <c r="C158" s="3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</row>
    <row r="159" spans="1:213" s="2" customFormat="1" x14ac:dyDescent="0.25">
      <c r="A159" s="3"/>
      <c r="C159" s="3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</row>
    <row r="160" spans="1:213" s="2" customFormat="1" x14ac:dyDescent="0.25">
      <c r="A160" s="3"/>
      <c r="C160" s="3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</row>
    <row r="161" spans="1:213" s="2" customFormat="1" x14ac:dyDescent="0.25">
      <c r="A161" s="3"/>
      <c r="C161" s="3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</row>
    <row r="162" spans="1:213" s="2" customFormat="1" x14ac:dyDescent="0.25">
      <c r="A162" s="3"/>
      <c r="C162" s="3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</row>
    <row r="163" spans="1:213" s="2" customFormat="1" x14ac:dyDescent="0.25">
      <c r="A163" s="3"/>
      <c r="C163" s="3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</row>
    <row r="164" spans="1:213" s="2" customFormat="1" x14ac:dyDescent="0.25">
      <c r="A164" s="3"/>
      <c r="C164" s="3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</row>
    <row r="165" spans="1:213" s="2" customFormat="1" x14ac:dyDescent="0.25">
      <c r="A165" s="3"/>
      <c r="C165" s="3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</row>
    <row r="166" spans="1:213" s="2" customFormat="1" x14ac:dyDescent="0.25">
      <c r="A166" s="3"/>
      <c r="C166" s="3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</row>
    <row r="167" spans="1:213" s="2" customFormat="1" x14ac:dyDescent="0.25">
      <c r="A167" s="3"/>
      <c r="C167" s="3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</row>
    <row r="168" spans="1:213" s="2" customFormat="1" x14ac:dyDescent="0.25">
      <c r="A168" s="3"/>
      <c r="C168" s="3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</row>
    <row r="169" spans="1:213" s="2" customFormat="1" x14ac:dyDescent="0.25">
      <c r="A169" s="3"/>
      <c r="C169" s="3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</row>
    <row r="170" spans="1:213" s="2" customFormat="1" x14ac:dyDescent="0.25">
      <c r="A170" s="3"/>
      <c r="C170" s="3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</row>
    <row r="171" spans="1:213" s="2" customFormat="1" x14ac:dyDescent="0.25">
      <c r="A171" s="3"/>
      <c r="C171" s="3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</row>
    <row r="172" spans="1:213" s="2" customFormat="1" x14ac:dyDescent="0.25">
      <c r="A172" s="3"/>
      <c r="C172" s="3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</row>
    <row r="173" spans="1:213" s="2" customFormat="1" x14ac:dyDescent="0.25">
      <c r="A173" s="3"/>
      <c r="C173" s="3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</row>
    <row r="174" spans="1:213" s="2" customFormat="1" x14ac:dyDescent="0.25">
      <c r="A174" s="3"/>
      <c r="C174" s="3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</row>
    <row r="175" spans="1:213" s="2" customFormat="1" x14ac:dyDescent="0.25">
      <c r="A175" s="3"/>
      <c r="C175" s="3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</row>
    <row r="176" spans="1:213" s="2" customFormat="1" x14ac:dyDescent="0.25">
      <c r="A176" s="3"/>
      <c r="C176" s="3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</row>
    <row r="177" spans="1:213" s="2" customFormat="1" x14ac:dyDescent="0.25">
      <c r="A177" s="3"/>
      <c r="C177" s="3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</row>
    <row r="178" spans="1:213" s="2" customFormat="1" x14ac:dyDescent="0.25">
      <c r="A178" s="3"/>
      <c r="C178" s="3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</row>
    <row r="179" spans="1:213" s="2" customFormat="1" x14ac:dyDescent="0.25">
      <c r="A179" s="3"/>
      <c r="C179" s="3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</row>
    <row r="180" spans="1:213" s="2" customFormat="1" x14ac:dyDescent="0.25">
      <c r="A180" s="3"/>
      <c r="C180" s="3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</row>
    <row r="181" spans="1:213" x14ac:dyDescent="0.25">
      <c r="D181" s="2"/>
      <c r="E181" s="2"/>
    </row>
    <row r="182" spans="1:213" x14ac:dyDescent="0.25">
      <c r="D182" s="2"/>
      <c r="E182" s="2"/>
    </row>
    <row r="183" spans="1:213" x14ac:dyDescent="0.25">
      <c r="D183" s="2"/>
      <c r="E183" s="2"/>
    </row>
    <row r="184" spans="1:213" x14ac:dyDescent="0.25">
      <c r="D184" s="2"/>
      <c r="E184" s="2"/>
    </row>
    <row r="185" spans="1:213" x14ac:dyDescent="0.25">
      <c r="D185" s="2"/>
      <c r="E185" s="2"/>
    </row>
    <row r="186" spans="1:213" x14ac:dyDescent="0.25">
      <c r="D186" s="2"/>
      <c r="E186" s="2"/>
    </row>
    <row r="187" spans="1:213" x14ac:dyDescent="0.25">
      <c r="D187" s="2"/>
      <c r="E187" s="2"/>
    </row>
    <row r="188" spans="1:213" x14ac:dyDescent="0.25">
      <c r="D188" s="2"/>
      <c r="E188" s="2"/>
    </row>
    <row r="189" spans="1:213" x14ac:dyDescent="0.25">
      <c r="D189" s="2"/>
      <c r="E189" s="2"/>
    </row>
    <row r="190" spans="1:213" x14ac:dyDescent="0.25">
      <c r="D190" s="2"/>
      <c r="E190" s="2"/>
    </row>
    <row r="191" spans="1:213" x14ac:dyDescent="0.25">
      <c r="D191" s="2"/>
      <c r="E191" s="2"/>
    </row>
    <row r="192" spans="1:213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80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D909-BD8F-46C1-B902-811DD5697191}">
  <sheetPr>
    <tabColor rgb="FF00B050"/>
    <pageSetUpPr fitToPage="1"/>
  </sheetPr>
  <dimension ref="A1:HG198"/>
  <sheetViews>
    <sheetView tabSelected="1"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.75" x14ac:dyDescent="0.25"/>
  <cols>
    <col min="1" max="1" width="66.140625" style="3" customWidth="1"/>
    <col min="2" max="2" width="15.140625" style="1" customWidth="1"/>
    <col min="3" max="3" width="13.5703125" style="34" customWidth="1"/>
    <col min="4" max="4" width="11.42578125" style="1" customWidth="1"/>
    <col min="5" max="5" width="13.140625" style="1" customWidth="1"/>
    <col min="6" max="6" width="11.28515625" style="1" customWidth="1"/>
    <col min="7" max="7" width="12.28515625" style="1" customWidth="1"/>
    <col min="8" max="8" width="8.85546875" style="1" customWidth="1"/>
    <col min="9" max="9" width="12.85546875" style="1" customWidth="1"/>
    <col min="10" max="10" width="10.28515625" style="1" customWidth="1"/>
    <col min="11" max="11" width="16.85546875" style="1" hidden="1" customWidth="1"/>
    <col min="12" max="12" width="11.28515625" style="1" hidden="1" customWidth="1"/>
    <col min="13" max="98" width="9.140625" style="1"/>
    <col min="99" max="99" width="29.140625" style="1" customWidth="1"/>
    <col min="100" max="101" width="9.140625" style="1" customWidth="1"/>
    <col min="102" max="102" width="11.5703125" style="1" customWidth="1"/>
    <col min="103" max="103" width="9.140625" style="1" customWidth="1"/>
    <col min="104" max="104" width="12.140625" style="1" customWidth="1"/>
    <col min="105" max="105" width="11.28515625" style="1" customWidth="1"/>
    <col min="106" max="106" width="12.5703125" style="1" customWidth="1"/>
    <col min="107" max="107" width="9.140625" style="1" customWidth="1"/>
    <col min="108" max="108" width="13.42578125" style="1" customWidth="1"/>
    <col min="109" max="109" width="6.85546875" style="1" customWidth="1"/>
    <col min="110" max="110" width="12.85546875" style="1" customWidth="1"/>
    <col min="111" max="111" width="7.28515625" style="1" customWidth="1"/>
    <col min="112" max="112" width="12.42578125" style="1" customWidth="1"/>
    <col min="113" max="113" width="8.28515625" style="1" customWidth="1"/>
    <col min="114" max="114" width="9.140625" style="1"/>
    <col min="115" max="115" width="10" style="1" bestFit="1" customWidth="1"/>
    <col min="116" max="116" width="9.7109375" style="1" customWidth="1"/>
    <col min="117" max="16384" width="9.140625" style="1"/>
  </cols>
  <sheetData>
    <row r="1" spans="1:12" ht="18.75" customHeight="1" x14ac:dyDescent="0.25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28"/>
      <c r="L1" s="28"/>
    </row>
    <row r="2" spans="1:12" ht="36.75" customHeight="1" x14ac:dyDescent="0.25">
      <c r="A2" s="77" t="s">
        <v>111</v>
      </c>
      <c r="B2" s="77"/>
      <c r="C2" s="77"/>
      <c r="D2" s="77"/>
      <c r="E2" s="77"/>
      <c r="F2" s="77"/>
      <c r="G2" s="77"/>
      <c r="H2" s="77"/>
      <c r="I2" s="77"/>
      <c r="J2" s="77"/>
      <c r="K2" s="28"/>
      <c r="L2" s="28"/>
    </row>
    <row r="3" spans="1:12" x14ac:dyDescent="0.25">
      <c r="A3" s="27"/>
      <c r="B3" s="24"/>
      <c r="C3" s="24"/>
      <c r="D3" s="24"/>
      <c r="E3" s="24"/>
      <c r="F3" s="24"/>
      <c r="H3" s="26"/>
      <c r="I3" s="26" t="s">
        <v>54</v>
      </c>
      <c r="J3" s="26"/>
    </row>
    <row r="4" spans="1:12" s="24" customFormat="1" ht="63" x14ac:dyDescent="0.2">
      <c r="A4" s="25" t="s">
        <v>53</v>
      </c>
      <c r="B4" s="25" t="s">
        <v>91</v>
      </c>
      <c r="C4" s="25" t="s">
        <v>92</v>
      </c>
      <c r="D4" s="25" t="s">
        <v>64</v>
      </c>
      <c r="E4" s="25" t="s">
        <v>66</v>
      </c>
      <c r="F4" s="25" t="s">
        <v>67</v>
      </c>
      <c r="G4" s="25" t="s">
        <v>87</v>
      </c>
      <c r="H4" s="25" t="s">
        <v>88</v>
      </c>
      <c r="I4" s="25" t="s">
        <v>93</v>
      </c>
      <c r="J4" s="25" t="s">
        <v>94</v>
      </c>
    </row>
    <row r="5" spans="1:12" x14ac:dyDescent="0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</row>
    <row r="6" spans="1:12" x14ac:dyDescent="0.25">
      <c r="A6" s="9" t="s">
        <v>52</v>
      </c>
      <c r="B6" s="20"/>
      <c r="C6" s="20"/>
      <c r="D6" s="31"/>
      <c r="E6" s="20"/>
      <c r="F6" s="31"/>
      <c r="G6" s="20"/>
      <c r="H6" s="31"/>
      <c r="I6" s="20"/>
      <c r="J6" s="31"/>
    </row>
    <row r="7" spans="1:12" s="22" customFormat="1" x14ac:dyDescent="0.25">
      <c r="A7" s="12" t="s">
        <v>51</v>
      </c>
      <c r="B7" s="59">
        <f>B8+B11+B14+B19+B23</f>
        <v>38539.883000000002</v>
      </c>
      <c r="C7" s="50">
        <f>C8+C11+C14+C19+C23</f>
        <v>42844</v>
      </c>
      <c r="D7" s="49">
        <f>C7/B7%</f>
        <v>111.16795554361178</v>
      </c>
      <c r="E7" s="50">
        <f>E8+E11+E14+E19+E23</f>
        <v>48933</v>
      </c>
      <c r="F7" s="49">
        <f>E7/C7%</f>
        <v>114.21202502100644</v>
      </c>
      <c r="G7" s="50">
        <f>G8+G11+G14+G19+G23</f>
        <v>55548</v>
      </c>
      <c r="H7" s="49">
        <f>G7/E7%</f>
        <v>113.51848445834101</v>
      </c>
      <c r="I7" s="50">
        <f>I8+I11+I14+I19+I23</f>
        <v>67449</v>
      </c>
      <c r="J7" s="49">
        <f>I7/G7%</f>
        <v>121.4247137610715</v>
      </c>
    </row>
    <row r="8" spans="1:12" s="22" customFormat="1" x14ac:dyDescent="0.25">
      <c r="A8" s="12" t="s">
        <v>50</v>
      </c>
      <c r="B8" s="59">
        <f>SUM(B9:B10)</f>
        <v>26342.109</v>
      </c>
      <c r="C8" s="50">
        <f>SUM(C9:C10)</f>
        <v>29469</v>
      </c>
      <c r="D8" s="49">
        <f t="shared" ref="D8" si="0">C8/B8%</f>
        <v>111.87031380061482</v>
      </c>
      <c r="E8" s="50">
        <f>E9+E10</f>
        <v>34977</v>
      </c>
      <c r="F8" s="49">
        <f t="shared" ref="F8:J10" si="1">E8/C8%</f>
        <v>118.69082764939428</v>
      </c>
      <c r="G8" s="50">
        <f>SUM(G9:G10)</f>
        <v>41273</v>
      </c>
      <c r="H8" s="49">
        <f t="shared" si="1"/>
        <v>118.00040026303</v>
      </c>
      <c r="I8" s="50">
        <f>SUM(I9:I10)</f>
        <v>48867</v>
      </c>
      <c r="J8" s="49">
        <f t="shared" si="1"/>
        <v>118.39943788917694</v>
      </c>
    </row>
    <row r="9" spans="1:12" s="22" customFormat="1" hidden="1" x14ac:dyDescent="0.25">
      <c r="A9" s="10" t="s">
        <v>49</v>
      </c>
      <c r="B9" s="60"/>
      <c r="C9" s="32"/>
      <c r="D9" s="38"/>
      <c r="E9" s="32"/>
      <c r="F9" s="38"/>
      <c r="G9" s="32"/>
      <c r="H9" s="49" t="e">
        <f t="shared" si="1"/>
        <v>#DIV/0!</v>
      </c>
      <c r="I9" s="32"/>
      <c r="J9" s="38"/>
    </row>
    <row r="10" spans="1:12" s="22" customFormat="1" x14ac:dyDescent="0.25">
      <c r="A10" s="10" t="s">
        <v>48</v>
      </c>
      <c r="B10" s="60">
        <v>26342.109</v>
      </c>
      <c r="C10" s="32">
        <v>29469</v>
      </c>
      <c r="D10" s="38">
        <f t="shared" ref="D10:D33" si="2">C10/B10%</f>
        <v>111.87031380061482</v>
      </c>
      <c r="E10" s="32">
        <v>34977</v>
      </c>
      <c r="F10" s="38">
        <f>E10/C10%</f>
        <v>118.69082764939428</v>
      </c>
      <c r="G10" s="32">
        <v>41273</v>
      </c>
      <c r="H10" s="49">
        <f t="shared" si="1"/>
        <v>118.00040026303</v>
      </c>
      <c r="I10" s="32">
        <v>48867</v>
      </c>
      <c r="J10" s="38">
        <f>I10/G10%</f>
        <v>118.39943788917694</v>
      </c>
    </row>
    <row r="11" spans="1:12" s="22" customFormat="1" ht="31.5" x14ac:dyDescent="0.25">
      <c r="A11" s="12" t="s">
        <v>47</v>
      </c>
      <c r="B11" s="59">
        <f>SUM(B12:B13)</f>
        <v>10235.800999999999</v>
      </c>
      <c r="C11" s="50">
        <f>SUM(C12:C13)</f>
        <v>10645</v>
      </c>
      <c r="D11" s="49">
        <f t="shared" si="2"/>
        <v>103.99772328516352</v>
      </c>
      <c r="E11" s="50">
        <f>SUM(E12:E13)</f>
        <v>11643</v>
      </c>
      <c r="F11" s="49">
        <f t="shared" ref="F11:J33" si="3">E11/C11%</f>
        <v>109.37529356505401</v>
      </c>
      <c r="G11" s="50">
        <f>SUM(G12:G13)</f>
        <v>11795</v>
      </c>
      <c r="H11" s="49">
        <f t="shared" si="3"/>
        <v>101.3055054539208</v>
      </c>
      <c r="I11" s="50">
        <f>SUM(I12:I13)</f>
        <v>15898</v>
      </c>
      <c r="J11" s="49">
        <f t="shared" si="3"/>
        <v>134.78592623993217</v>
      </c>
    </row>
    <row r="12" spans="1:12" s="22" customFormat="1" x14ac:dyDescent="0.25">
      <c r="A12" s="10" t="s">
        <v>46</v>
      </c>
      <c r="B12" s="60">
        <v>10235.800999999999</v>
      </c>
      <c r="C12" s="32">
        <v>10645</v>
      </c>
      <c r="D12" s="38">
        <f>C12/B12%</f>
        <v>103.99772328516352</v>
      </c>
      <c r="E12" s="32">
        <v>11643</v>
      </c>
      <c r="F12" s="38">
        <f t="shared" si="3"/>
        <v>109.37529356505401</v>
      </c>
      <c r="G12" s="32">
        <v>11795</v>
      </c>
      <c r="H12" s="38">
        <f t="shared" si="3"/>
        <v>101.3055054539208</v>
      </c>
      <c r="I12" s="32">
        <v>15898</v>
      </c>
      <c r="J12" s="38">
        <f t="shared" si="3"/>
        <v>134.78592623993217</v>
      </c>
    </row>
    <row r="13" spans="1:12" s="22" customFormat="1" hidden="1" x14ac:dyDescent="0.25">
      <c r="A13" s="10" t="s">
        <v>45</v>
      </c>
      <c r="B13" s="60"/>
      <c r="C13" s="32"/>
      <c r="D13" s="38"/>
      <c r="E13" s="32"/>
      <c r="F13" s="38"/>
      <c r="G13" s="32"/>
      <c r="H13" s="38"/>
      <c r="I13" s="32"/>
      <c r="J13" s="38"/>
    </row>
    <row r="14" spans="1:12" s="22" customFormat="1" x14ac:dyDescent="0.25">
      <c r="A14" s="12" t="s">
        <v>44</v>
      </c>
      <c r="B14" s="59">
        <f>SUM(B15:B18)</f>
        <v>1345.268</v>
      </c>
      <c r="C14" s="50">
        <f>SUM(C15:C18)</f>
        <v>1722</v>
      </c>
      <c r="D14" s="49">
        <f t="shared" si="2"/>
        <v>128.00423410056584</v>
      </c>
      <c r="E14" s="50">
        <f>SUM(E15:E18)</f>
        <v>1055</v>
      </c>
      <c r="F14" s="49">
        <f t="shared" si="3"/>
        <v>61.265969802555169</v>
      </c>
      <c r="G14" s="50">
        <f>SUM(G15:G18)</f>
        <v>1132</v>
      </c>
      <c r="H14" s="49">
        <f>SUM(H15:H18)</f>
        <v>321.49528644266815</v>
      </c>
      <c r="I14" s="50">
        <f>SUM(I15:I18)</f>
        <v>1233</v>
      </c>
      <c r="J14" s="49">
        <f>SUM(J15:J18)</f>
        <v>327.36993656498305</v>
      </c>
    </row>
    <row r="15" spans="1:12" s="22" customFormat="1" ht="31.5" x14ac:dyDescent="0.25">
      <c r="A15" s="10" t="s">
        <v>42</v>
      </c>
      <c r="B15" s="60">
        <v>3.6190000000000002</v>
      </c>
      <c r="C15" s="32">
        <v>0</v>
      </c>
      <c r="D15" s="38">
        <f t="shared" si="2"/>
        <v>0</v>
      </c>
      <c r="E15" s="32"/>
      <c r="F15" s="38">
        <v>0</v>
      </c>
      <c r="G15" s="32"/>
      <c r="H15" s="38">
        <v>0</v>
      </c>
      <c r="I15" s="32"/>
      <c r="J15" s="38"/>
    </row>
    <row r="16" spans="1:12" s="22" customFormat="1" x14ac:dyDescent="0.25">
      <c r="A16" s="10" t="s">
        <v>41</v>
      </c>
      <c r="B16" s="60">
        <v>11.413</v>
      </c>
      <c r="C16" s="32">
        <v>16</v>
      </c>
      <c r="D16" s="38">
        <f t="shared" si="2"/>
        <v>140.19101025146762</v>
      </c>
      <c r="E16" s="32">
        <v>19</v>
      </c>
      <c r="F16" s="38">
        <f t="shared" si="3"/>
        <v>118.75</v>
      </c>
      <c r="G16" s="32">
        <v>20</v>
      </c>
      <c r="H16" s="38">
        <f t="shared" si="3"/>
        <v>105.26315789473684</v>
      </c>
      <c r="I16" s="32">
        <v>22</v>
      </c>
      <c r="J16" s="38">
        <f t="shared" si="3"/>
        <v>110</v>
      </c>
    </row>
    <row r="17" spans="1:10" s="22" customFormat="1" ht="31.5" x14ac:dyDescent="0.25">
      <c r="A17" s="10" t="s">
        <v>40</v>
      </c>
      <c r="B17" s="60">
        <v>7.1020000000000003</v>
      </c>
      <c r="C17" s="32">
        <v>80</v>
      </c>
      <c r="D17" s="38">
        <f>C17/B17%</f>
        <v>1126.4432554210082</v>
      </c>
      <c r="E17" s="32">
        <v>131</v>
      </c>
      <c r="F17" s="38">
        <f t="shared" si="3"/>
        <v>163.75</v>
      </c>
      <c r="G17" s="32">
        <v>143</v>
      </c>
      <c r="H17" s="38">
        <f t="shared" si="3"/>
        <v>109.16030534351144</v>
      </c>
      <c r="I17" s="32">
        <v>155</v>
      </c>
      <c r="J17" s="38">
        <f t="shared" si="3"/>
        <v>108.3916083916084</v>
      </c>
    </row>
    <row r="18" spans="1:10" s="22" customFormat="1" ht="31.5" x14ac:dyDescent="0.25">
      <c r="A18" s="10" t="s">
        <v>43</v>
      </c>
      <c r="B18" s="60">
        <v>1323.134</v>
      </c>
      <c r="C18" s="32">
        <v>1626</v>
      </c>
      <c r="D18" s="38">
        <v>0</v>
      </c>
      <c r="E18" s="32">
        <v>905</v>
      </c>
      <c r="F18" s="38">
        <f t="shared" si="3"/>
        <v>55.658056580565798</v>
      </c>
      <c r="G18" s="32">
        <v>969</v>
      </c>
      <c r="H18" s="38">
        <f>G18/E18%</f>
        <v>107.07182320441989</v>
      </c>
      <c r="I18" s="32">
        <v>1056</v>
      </c>
      <c r="J18" s="38">
        <f t="shared" si="3"/>
        <v>108.97832817337462</v>
      </c>
    </row>
    <row r="19" spans="1:10" s="22" customFormat="1" x14ac:dyDescent="0.25">
      <c r="A19" s="12" t="s">
        <v>39</v>
      </c>
      <c r="B19" s="59">
        <f>SUM(B20:B22)</f>
        <v>318.65999999999997</v>
      </c>
      <c r="C19" s="50">
        <f>SUM(C20:C22)</f>
        <v>671</v>
      </c>
      <c r="D19" s="38">
        <f t="shared" si="2"/>
        <v>210.56925877110402</v>
      </c>
      <c r="E19" s="50">
        <f>SUM(E20:E22)</f>
        <v>851</v>
      </c>
      <c r="F19" s="38">
        <f t="shared" si="3"/>
        <v>126.82563338301043</v>
      </c>
      <c r="G19" s="50">
        <f>SUM(G20:G22)</f>
        <v>888</v>
      </c>
      <c r="H19" s="38">
        <f t="shared" si="3"/>
        <v>104.34782608695653</v>
      </c>
      <c r="I19" s="50">
        <f>SUM(I20:I22)</f>
        <v>929</v>
      </c>
      <c r="J19" s="38">
        <f t="shared" si="3"/>
        <v>104.6171171171171</v>
      </c>
    </row>
    <row r="20" spans="1:10" s="22" customFormat="1" x14ac:dyDescent="0.25">
      <c r="A20" s="10" t="s">
        <v>38</v>
      </c>
      <c r="B20" s="60">
        <v>27.544</v>
      </c>
      <c r="C20" s="32">
        <v>23</v>
      </c>
      <c r="D20" s="38"/>
      <c r="E20" s="32">
        <v>34</v>
      </c>
      <c r="F20" s="38"/>
      <c r="G20" s="32">
        <v>36</v>
      </c>
      <c r="H20" s="38"/>
      <c r="I20" s="32">
        <v>38</v>
      </c>
      <c r="J20" s="38"/>
    </row>
    <row r="21" spans="1:10" s="22" customFormat="1" x14ac:dyDescent="0.25">
      <c r="A21" s="10" t="s">
        <v>37</v>
      </c>
      <c r="B21" s="60">
        <v>149.547</v>
      </c>
      <c r="C21" s="32">
        <v>347</v>
      </c>
      <c r="D21" s="38">
        <f t="shared" si="2"/>
        <v>232.03407624358897</v>
      </c>
      <c r="E21" s="32">
        <v>571</v>
      </c>
      <c r="F21" s="38">
        <f t="shared" si="3"/>
        <v>164.55331412103746</v>
      </c>
      <c r="G21" s="32">
        <v>597</v>
      </c>
      <c r="H21" s="38">
        <f t="shared" si="3"/>
        <v>104.55341506129598</v>
      </c>
      <c r="I21" s="32">
        <v>627</v>
      </c>
      <c r="J21" s="38">
        <f t="shared" si="3"/>
        <v>105.02512562814071</v>
      </c>
    </row>
    <row r="22" spans="1:10" s="22" customFormat="1" x14ac:dyDescent="0.25">
      <c r="A22" s="10" t="s">
        <v>36</v>
      </c>
      <c r="B22" s="60">
        <v>141.56899999999999</v>
      </c>
      <c r="C22" s="32">
        <v>301</v>
      </c>
      <c r="D22" s="38"/>
      <c r="E22" s="32">
        <v>246</v>
      </c>
      <c r="F22" s="38">
        <f t="shared" si="3"/>
        <v>81.72757475083057</v>
      </c>
      <c r="G22" s="32">
        <v>255</v>
      </c>
      <c r="H22" s="38">
        <f t="shared" si="3"/>
        <v>103.65853658536585</v>
      </c>
      <c r="I22" s="32">
        <v>264</v>
      </c>
      <c r="J22" s="38">
        <f t="shared" si="3"/>
        <v>103.52941176470588</v>
      </c>
    </row>
    <row r="23" spans="1:10" s="22" customFormat="1" x14ac:dyDescent="0.25">
      <c r="A23" s="12" t="s">
        <v>35</v>
      </c>
      <c r="B23" s="59">
        <v>298.04500000000002</v>
      </c>
      <c r="C23" s="50">
        <v>337</v>
      </c>
      <c r="D23" s="49">
        <f t="shared" si="2"/>
        <v>113.07017396701839</v>
      </c>
      <c r="E23" s="50">
        <v>407</v>
      </c>
      <c r="F23" s="49">
        <f t="shared" si="3"/>
        <v>120.77151335311572</v>
      </c>
      <c r="G23" s="50">
        <v>460</v>
      </c>
      <c r="H23" s="49">
        <f t="shared" si="3"/>
        <v>113.02211302211302</v>
      </c>
      <c r="I23" s="50">
        <v>522</v>
      </c>
      <c r="J23" s="49">
        <f t="shared" si="3"/>
        <v>113.47826086956523</v>
      </c>
    </row>
    <row r="24" spans="1:10" s="22" customFormat="1" x14ac:dyDescent="0.25">
      <c r="A24" s="12" t="s">
        <v>34</v>
      </c>
      <c r="B24" s="59">
        <f>B25+B27+B28+B30+B31+B32</f>
        <v>515.55700000000002</v>
      </c>
      <c r="C24" s="50">
        <f>C25+C27+C28+C30+C31+C32</f>
        <v>2535</v>
      </c>
      <c r="D24" s="49">
        <f t="shared" si="2"/>
        <v>491.70120859575178</v>
      </c>
      <c r="E24" s="50">
        <f>E25+E27+E28+E30+E31+E32</f>
        <v>361</v>
      </c>
      <c r="F24" s="49">
        <f t="shared" si="3"/>
        <v>14.240631163708086</v>
      </c>
      <c r="G24" s="50">
        <f>G25+G27+G28+G30+G31+G32</f>
        <v>405</v>
      </c>
      <c r="H24" s="49">
        <f t="shared" si="3"/>
        <v>112.18836565096953</v>
      </c>
      <c r="I24" s="50">
        <f>I25+I27+I28+I30+I31+I32</f>
        <v>420</v>
      </c>
      <c r="J24" s="49">
        <f t="shared" si="3"/>
        <v>103.70370370370371</v>
      </c>
    </row>
    <row r="25" spans="1:10" s="15" customFormat="1" x14ac:dyDescent="0.2">
      <c r="A25" s="12" t="s">
        <v>32</v>
      </c>
      <c r="B25" s="59">
        <f>SUM(B26:B26)</f>
        <v>24.538</v>
      </c>
      <c r="C25" s="50">
        <f>SUM(C26:C26)</f>
        <v>95</v>
      </c>
      <c r="D25" s="49">
        <f t="shared" si="2"/>
        <v>387.15461732822558</v>
      </c>
      <c r="E25" s="50">
        <f>SUM(E26:E26)</f>
        <v>100</v>
      </c>
      <c r="F25" s="49">
        <f t="shared" si="3"/>
        <v>105.26315789473685</v>
      </c>
      <c r="G25" s="50">
        <f>SUM(G26:G26)</f>
        <v>105</v>
      </c>
      <c r="H25" s="49">
        <f t="shared" si="3"/>
        <v>105</v>
      </c>
      <c r="I25" s="50">
        <f>SUM(I26:I26)</f>
        <v>110</v>
      </c>
      <c r="J25" s="49">
        <f t="shared" si="3"/>
        <v>104.76190476190476</v>
      </c>
    </row>
    <row r="26" spans="1:10" s="15" customFormat="1" x14ac:dyDescent="0.2">
      <c r="A26" s="10" t="s">
        <v>31</v>
      </c>
      <c r="B26" s="60">
        <v>24.538</v>
      </c>
      <c r="C26" s="32">
        <v>95</v>
      </c>
      <c r="D26" s="38">
        <f>C26/B26%</f>
        <v>387.15461732822558</v>
      </c>
      <c r="E26" s="32">
        <v>100</v>
      </c>
      <c r="F26" s="38">
        <f t="shared" si="3"/>
        <v>105.26315789473685</v>
      </c>
      <c r="G26" s="32">
        <v>105</v>
      </c>
      <c r="H26" s="38">
        <f t="shared" si="3"/>
        <v>105</v>
      </c>
      <c r="I26" s="32">
        <v>110</v>
      </c>
      <c r="J26" s="38">
        <f t="shared" si="3"/>
        <v>104.76190476190476</v>
      </c>
    </row>
    <row r="27" spans="1:10" s="15" customFormat="1" ht="31.5" x14ac:dyDescent="0.2">
      <c r="A27" s="12" t="s">
        <v>30</v>
      </c>
      <c r="B27" s="59">
        <v>23.417000000000002</v>
      </c>
      <c r="C27" s="50">
        <v>2</v>
      </c>
      <c r="D27" s="49">
        <f>C27/B27%</f>
        <v>8.5408036896271931</v>
      </c>
      <c r="E27" s="50">
        <v>2</v>
      </c>
      <c r="F27" s="49">
        <f>E27/C27%</f>
        <v>100</v>
      </c>
      <c r="G27" s="50">
        <v>2</v>
      </c>
      <c r="H27" s="49">
        <f t="shared" si="3"/>
        <v>100</v>
      </c>
      <c r="I27" s="50">
        <v>2</v>
      </c>
      <c r="J27" s="49">
        <f t="shared" si="3"/>
        <v>100</v>
      </c>
    </row>
    <row r="28" spans="1:10" s="15" customFormat="1" x14ac:dyDescent="0.2">
      <c r="A28" s="12" t="s">
        <v>33</v>
      </c>
      <c r="B28" s="59">
        <f>B29</f>
        <v>99.62</v>
      </c>
      <c r="C28" s="50">
        <f>C29</f>
        <v>168</v>
      </c>
      <c r="D28" s="38">
        <f t="shared" si="2"/>
        <v>168.64083517365989</v>
      </c>
      <c r="E28" s="50">
        <f>E29</f>
        <v>175</v>
      </c>
      <c r="F28" s="38">
        <f t="shared" si="3"/>
        <v>104.16666666666667</v>
      </c>
      <c r="G28" s="50">
        <f>G29</f>
        <v>182</v>
      </c>
      <c r="H28" s="38">
        <f t="shared" si="3"/>
        <v>104</v>
      </c>
      <c r="I28" s="50">
        <f>I29</f>
        <v>189</v>
      </c>
      <c r="J28" s="38">
        <f t="shared" si="3"/>
        <v>103.84615384615384</v>
      </c>
    </row>
    <row r="29" spans="1:10" s="15" customFormat="1" x14ac:dyDescent="0.25">
      <c r="A29" s="21" t="s">
        <v>60</v>
      </c>
      <c r="B29" s="60">
        <v>99.62</v>
      </c>
      <c r="C29" s="32">
        <v>168</v>
      </c>
      <c r="D29" s="38">
        <f t="shared" si="2"/>
        <v>168.64083517365989</v>
      </c>
      <c r="E29" s="32">
        <v>175</v>
      </c>
      <c r="F29" s="38">
        <f t="shared" si="3"/>
        <v>104.16666666666667</v>
      </c>
      <c r="G29" s="32">
        <v>182</v>
      </c>
      <c r="H29" s="38">
        <f t="shared" si="3"/>
        <v>104</v>
      </c>
      <c r="I29" s="32">
        <v>189</v>
      </c>
      <c r="J29" s="38">
        <f t="shared" si="3"/>
        <v>103.84615384615384</v>
      </c>
    </row>
    <row r="30" spans="1:10" s="15" customFormat="1" ht="31.5" x14ac:dyDescent="0.2">
      <c r="A30" s="12" t="s">
        <v>29</v>
      </c>
      <c r="B30" s="59">
        <v>117.78700000000001</v>
      </c>
      <c r="C30" s="50">
        <v>92</v>
      </c>
      <c r="D30" s="49">
        <f t="shared" si="2"/>
        <v>78.107091614524521</v>
      </c>
      <c r="E30" s="50">
        <v>42</v>
      </c>
      <c r="F30" s="49">
        <f t="shared" si="3"/>
        <v>45.652173913043477</v>
      </c>
      <c r="G30" s="50">
        <v>44</v>
      </c>
      <c r="H30" s="49">
        <f t="shared" si="3"/>
        <v>104.76190476190476</v>
      </c>
      <c r="I30" s="50">
        <v>46</v>
      </c>
      <c r="J30" s="49">
        <f t="shared" si="3"/>
        <v>104.54545454545455</v>
      </c>
    </row>
    <row r="31" spans="1:10" s="15" customFormat="1" x14ac:dyDescent="0.2">
      <c r="A31" s="12" t="s">
        <v>28</v>
      </c>
      <c r="B31" s="59">
        <v>182.935</v>
      </c>
      <c r="C31" s="50">
        <v>81</v>
      </c>
      <c r="D31" s="49">
        <f t="shared" si="2"/>
        <v>44.278022248339575</v>
      </c>
      <c r="E31" s="50">
        <v>20</v>
      </c>
      <c r="F31" s="49">
        <f t="shared" si="3"/>
        <v>24.691358024691358</v>
      </c>
      <c r="G31" s="50">
        <v>50</v>
      </c>
      <c r="H31" s="49">
        <f t="shared" si="3"/>
        <v>250</v>
      </c>
      <c r="I31" s="50">
        <v>50</v>
      </c>
      <c r="J31" s="49">
        <f t="shared" si="3"/>
        <v>100</v>
      </c>
    </row>
    <row r="32" spans="1:10" s="15" customFormat="1" x14ac:dyDescent="0.2">
      <c r="A32" s="12" t="s">
        <v>27</v>
      </c>
      <c r="B32" s="59">
        <v>67.260000000000005</v>
      </c>
      <c r="C32" s="50">
        <v>2097</v>
      </c>
      <c r="D32" s="49">
        <f t="shared" si="2"/>
        <v>3117.7520071364847</v>
      </c>
      <c r="E32" s="50">
        <v>22</v>
      </c>
      <c r="F32" s="49">
        <f t="shared" si="3"/>
        <v>1.0491177873152122</v>
      </c>
      <c r="G32" s="50">
        <v>22</v>
      </c>
      <c r="H32" s="49">
        <f t="shared" si="3"/>
        <v>100</v>
      </c>
      <c r="I32" s="50">
        <v>23</v>
      </c>
      <c r="J32" s="49">
        <f t="shared" si="3"/>
        <v>104.54545454545455</v>
      </c>
    </row>
    <row r="33" spans="1:10" s="15" customFormat="1" x14ac:dyDescent="0.2">
      <c r="A33" s="12" t="s">
        <v>26</v>
      </c>
      <c r="B33" s="59">
        <f>B7+B24</f>
        <v>39055.440000000002</v>
      </c>
      <c r="C33" s="50">
        <f>C7+C24</f>
        <v>45379</v>
      </c>
      <c r="D33" s="49">
        <f t="shared" si="2"/>
        <v>116.19123993994177</v>
      </c>
      <c r="E33" s="50">
        <f>E7+E24</f>
        <v>49294</v>
      </c>
      <c r="F33" s="49">
        <f>E33/C33%</f>
        <v>108.62733863681439</v>
      </c>
      <c r="G33" s="50">
        <f>G7+G24</f>
        <v>55953</v>
      </c>
      <c r="H33" s="49">
        <f t="shared" si="3"/>
        <v>113.50874345762162</v>
      </c>
      <c r="I33" s="50">
        <f>I7+I24</f>
        <v>67869</v>
      </c>
      <c r="J33" s="49">
        <f t="shared" si="3"/>
        <v>121.29644523081873</v>
      </c>
    </row>
    <row r="34" spans="1:10" s="15" customFormat="1" x14ac:dyDescent="0.2">
      <c r="A34" s="12" t="s">
        <v>63</v>
      </c>
      <c r="B34" s="75">
        <v>7464.2020000000002</v>
      </c>
      <c r="C34" s="62">
        <v>11002.66</v>
      </c>
      <c r="D34" s="49"/>
      <c r="E34" s="50"/>
      <c r="F34" s="49"/>
      <c r="G34" s="50">
        <v>0</v>
      </c>
      <c r="H34" s="49"/>
      <c r="I34" s="50">
        <v>0</v>
      </c>
      <c r="J34" s="49"/>
    </row>
    <row r="35" spans="1:10" s="15" customFormat="1" ht="31.5" x14ac:dyDescent="0.2">
      <c r="A35" s="12" t="s">
        <v>25</v>
      </c>
      <c r="B35" s="60"/>
      <c r="C35" s="32"/>
      <c r="D35" s="38"/>
      <c r="E35" s="32"/>
      <c r="F35" s="38"/>
      <c r="G35" s="32"/>
      <c r="H35" s="38"/>
      <c r="I35" s="32"/>
      <c r="J35" s="38"/>
    </row>
    <row r="36" spans="1:10" s="15" customFormat="1" ht="31.5" x14ac:dyDescent="0.2">
      <c r="A36" s="12" t="s">
        <v>24</v>
      </c>
      <c r="B36" s="60"/>
      <c r="C36" s="32"/>
      <c r="D36" s="38"/>
      <c r="E36" s="32"/>
      <c r="F36" s="38"/>
      <c r="G36" s="32"/>
      <c r="H36" s="38"/>
      <c r="I36" s="32"/>
      <c r="J36" s="38"/>
    </row>
    <row r="37" spans="1:10" s="15" customFormat="1" x14ac:dyDescent="0.2">
      <c r="A37" s="14" t="s">
        <v>23</v>
      </c>
      <c r="B37" s="48">
        <f>B38+B36</f>
        <v>192852.959</v>
      </c>
      <c r="C37" s="37">
        <f>C38</f>
        <v>198779.272</v>
      </c>
      <c r="D37" s="38">
        <f t="shared" ref="D37:D89" si="4">C37/B37%</f>
        <v>103.07296970226938</v>
      </c>
      <c r="E37" s="37">
        <f>E38</f>
        <v>215097.08600000001</v>
      </c>
      <c r="F37" s="38">
        <f t="shared" ref="F37:J91" si="5">E37/C37%</f>
        <v>108.20901185310711</v>
      </c>
      <c r="G37" s="37">
        <f>G38</f>
        <v>117747.57400000001</v>
      </c>
      <c r="H37" s="38">
        <f t="shared" si="5"/>
        <v>54.74159422131828</v>
      </c>
      <c r="I37" s="37">
        <f>I38</f>
        <v>130663.875</v>
      </c>
      <c r="J37" s="38">
        <f t="shared" si="5"/>
        <v>110.96948375344022</v>
      </c>
    </row>
    <row r="38" spans="1:10" s="15" customFormat="1" ht="31.5" x14ac:dyDescent="0.2">
      <c r="A38" s="16" t="s">
        <v>22</v>
      </c>
      <c r="B38" s="48">
        <f>B40+B43+B55+B66</f>
        <v>192852.959</v>
      </c>
      <c r="C38" s="37">
        <f>C40+C43+C55+C66</f>
        <v>198779.272</v>
      </c>
      <c r="D38" s="38">
        <f t="shared" si="4"/>
        <v>103.07296970226938</v>
      </c>
      <c r="E38" s="37">
        <f>E40+E43+E55+E66</f>
        <v>215097.08600000001</v>
      </c>
      <c r="F38" s="38">
        <f t="shared" si="5"/>
        <v>108.20901185310711</v>
      </c>
      <c r="G38" s="37">
        <f>G40+G43+G55+G66</f>
        <v>117747.57400000001</v>
      </c>
      <c r="H38" s="38">
        <f t="shared" si="5"/>
        <v>54.74159422131828</v>
      </c>
      <c r="I38" s="37">
        <f>I40+I43+I55+I66</f>
        <v>130663.875</v>
      </c>
      <c r="J38" s="38">
        <f t="shared" si="5"/>
        <v>110.96948375344022</v>
      </c>
    </row>
    <row r="39" spans="1:10" s="15" customFormat="1" x14ac:dyDescent="0.2">
      <c r="A39" s="16" t="s">
        <v>21</v>
      </c>
      <c r="B39" s="46"/>
      <c r="C39" s="40"/>
      <c r="D39" s="38"/>
      <c r="E39" s="40"/>
      <c r="F39" s="38"/>
      <c r="G39" s="40"/>
      <c r="H39" s="38"/>
      <c r="I39" s="40"/>
      <c r="J39" s="38"/>
    </row>
    <row r="40" spans="1:10" s="19" customFormat="1" x14ac:dyDescent="0.2">
      <c r="A40" s="18" t="s">
        <v>20</v>
      </c>
      <c r="B40" s="63">
        <f>SUM(B41:B42)</f>
        <v>44484</v>
      </c>
      <c r="C40" s="64">
        <f>SUM(C41:C42)</f>
        <v>45340</v>
      </c>
      <c r="D40" s="49">
        <f t="shared" si="4"/>
        <v>101.92428738422804</v>
      </c>
      <c r="E40" s="64">
        <f>SUM(E41:E42)</f>
        <v>52542</v>
      </c>
      <c r="F40" s="49">
        <f t="shared" si="5"/>
        <v>115.88442876047641</v>
      </c>
      <c r="G40" s="64">
        <f>SUM(G41:G42)</f>
        <v>28874</v>
      </c>
      <c r="H40" s="49">
        <f t="shared" si="5"/>
        <v>54.954131932549203</v>
      </c>
      <c r="I40" s="64">
        <f>SUM(I41:I42)</f>
        <v>21316.7</v>
      </c>
      <c r="J40" s="49">
        <f t="shared" si="5"/>
        <v>73.826626030338716</v>
      </c>
    </row>
    <row r="41" spans="1:10" s="15" customFormat="1" ht="22.5" customHeight="1" x14ac:dyDescent="0.2">
      <c r="A41" s="16" t="s">
        <v>19</v>
      </c>
      <c r="B41" s="46">
        <v>30773</v>
      </c>
      <c r="C41" s="40">
        <v>33102</v>
      </c>
      <c r="D41" s="38">
        <f t="shared" si="4"/>
        <v>107.56832288044714</v>
      </c>
      <c r="E41" s="40">
        <v>48665</v>
      </c>
      <c r="F41" s="38">
        <f>E41/C41%</f>
        <v>147.0152860854329</v>
      </c>
      <c r="G41" s="40">
        <v>25191</v>
      </c>
      <c r="H41" s="38">
        <f t="shared" si="5"/>
        <v>51.764101510325702</v>
      </c>
      <c r="I41" s="40">
        <v>17633.7</v>
      </c>
      <c r="J41" s="38">
        <f t="shared" si="5"/>
        <v>70</v>
      </c>
    </row>
    <row r="42" spans="1:10" s="15" customFormat="1" ht="20.25" customHeight="1" x14ac:dyDescent="0.2">
      <c r="A42" s="16" t="s">
        <v>18</v>
      </c>
      <c r="B42" s="46">
        <v>13711</v>
      </c>
      <c r="C42" s="40">
        <v>12238</v>
      </c>
      <c r="D42" s="38">
        <f t="shared" si="4"/>
        <v>89.256801108598921</v>
      </c>
      <c r="E42" s="40">
        <v>3877</v>
      </c>
      <c r="F42" s="38">
        <f t="shared" si="5"/>
        <v>31.680013074031706</v>
      </c>
      <c r="G42" s="65">
        <v>3683</v>
      </c>
      <c r="H42" s="38">
        <f t="shared" si="5"/>
        <v>94.996131029146241</v>
      </c>
      <c r="I42" s="65">
        <v>3683</v>
      </c>
      <c r="J42" s="38">
        <f t="shared" si="5"/>
        <v>100</v>
      </c>
    </row>
    <row r="43" spans="1:10" s="19" customFormat="1" ht="31.5" x14ac:dyDescent="0.2">
      <c r="A43" s="16" t="s">
        <v>56</v>
      </c>
      <c r="B43" s="48">
        <f>SUM(B44:B49)</f>
        <v>16446.730000000003</v>
      </c>
      <c r="C43" s="37">
        <f>SUM(C44:C49)</f>
        <v>20598.061000000002</v>
      </c>
      <c r="D43" s="45">
        <f t="shared" si="4"/>
        <v>125.24107223745996</v>
      </c>
      <c r="E43" s="37">
        <f>SUM(E44:E54)</f>
        <v>18848.842000000001</v>
      </c>
      <c r="F43" s="45">
        <f t="shared" si="5"/>
        <v>91.507846296794625</v>
      </c>
      <c r="G43" s="37">
        <f>SUM(G44:G54)</f>
        <v>13390.315000000001</v>
      </c>
      <c r="H43" s="37">
        <f>SUM(H44:H54)</f>
        <v>0</v>
      </c>
      <c r="I43" s="37">
        <f>SUM(I44:I54)</f>
        <v>13352.323</v>
      </c>
      <c r="J43" s="45">
        <f t="shared" si="5"/>
        <v>99.716272544745948</v>
      </c>
    </row>
    <row r="44" spans="1:10" s="19" customFormat="1" ht="57.75" customHeight="1" x14ac:dyDescent="0.2">
      <c r="A44" s="10" t="s">
        <v>85</v>
      </c>
      <c r="B44" s="36">
        <v>128</v>
      </c>
      <c r="C44" s="37">
        <v>316.8</v>
      </c>
      <c r="D44" s="38">
        <v>0</v>
      </c>
      <c r="E44" s="40">
        <v>379.74200000000002</v>
      </c>
      <c r="F44" s="38">
        <v>95.309769902793164</v>
      </c>
      <c r="G44" s="40">
        <v>386.58499999999998</v>
      </c>
      <c r="H44" s="38"/>
      <c r="I44" s="76">
        <f>393.428</f>
        <v>393.428</v>
      </c>
      <c r="J44" s="38"/>
    </row>
    <row r="45" spans="1:10" s="19" customFormat="1" ht="63" x14ac:dyDescent="0.2">
      <c r="A45" s="10" t="s">
        <v>68</v>
      </c>
      <c r="B45" s="39">
        <v>2571.0390000000002</v>
      </c>
      <c r="C45" s="40">
        <v>2198</v>
      </c>
      <c r="D45" s="38">
        <f t="shared" si="4"/>
        <v>85.490729623315701</v>
      </c>
      <c r="E45" s="40">
        <v>2487.8000000000002</v>
      </c>
      <c r="F45" s="38">
        <f>E45/C45%</f>
        <v>113.18471337579618</v>
      </c>
      <c r="G45" s="40">
        <v>2270.73</v>
      </c>
      <c r="H45" s="38"/>
      <c r="I45" s="40">
        <v>2225.895</v>
      </c>
      <c r="J45" s="38"/>
    </row>
    <row r="46" spans="1:10" s="19" customFormat="1" ht="31.5" x14ac:dyDescent="0.2">
      <c r="A46" s="10" t="s">
        <v>69</v>
      </c>
      <c r="B46" s="41">
        <v>3238.3739999999998</v>
      </c>
      <c r="C46" s="40">
        <v>1363.9</v>
      </c>
      <c r="D46" s="42">
        <v>0</v>
      </c>
      <c r="E46" s="40">
        <v>3227.3</v>
      </c>
      <c r="F46" s="38">
        <v>0</v>
      </c>
      <c r="G46" s="40"/>
      <c r="H46" s="38"/>
      <c r="I46" s="40"/>
      <c r="J46" s="38">
        <v>0</v>
      </c>
    </row>
    <row r="47" spans="1:10" s="19" customFormat="1" ht="31.5" x14ac:dyDescent="0.2">
      <c r="A47" s="10" t="s">
        <v>70</v>
      </c>
      <c r="B47" s="43"/>
      <c r="C47" s="40">
        <v>2021</v>
      </c>
      <c r="D47" s="38" t="e">
        <f>C47/B47%</f>
        <v>#DIV/0!</v>
      </c>
      <c r="E47" s="40">
        <v>2021</v>
      </c>
      <c r="F47" s="38">
        <f>E47/C47%</f>
        <v>100</v>
      </c>
      <c r="G47" s="40"/>
      <c r="H47" s="38">
        <f>G47/E47%</f>
        <v>0</v>
      </c>
      <c r="I47" s="40"/>
      <c r="J47" s="38" t="e">
        <f>I47/G47%</f>
        <v>#DIV/0!</v>
      </c>
    </row>
    <row r="48" spans="1:10" s="19" customFormat="1" ht="26.25" customHeight="1" x14ac:dyDescent="0.2">
      <c r="A48" s="10" t="s">
        <v>86</v>
      </c>
      <c r="B48" s="43">
        <v>4825.13</v>
      </c>
      <c r="C48" s="40"/>
      <c r="D48" s="38"/>
      <c r="E48" s="40"/>
      <c r="F48" s="38"/>
      <c r="G48" s="40"/>
      <c r="H48" s="38"/>
      <c r="I48" s="40"/>
      <c r="J48" s="38"/>
    </row>
    <row r="49" spans="1:10" s="19" customFormat="1" x14ac:dyDescent="0.2">
      <c r="A49" s="10" t="s">
        <v>71</v>
      </c>
      <c r="B49" s="43">
        <f>SUM(B50:B54)</f>
        <v>5684.1869999999999</v>
      </c>
      <c r="C49" s="40">
        <f>C51+C52+C53</f>
        <v>14698.361000000001</v>
      </c>
      <c r="D49" s="42">
        <f>C49/B49%</f>
        <v>258.58334709959405</v>
      </c>
      <c r="E49" s="40"/>
      <c r="F49" s="42">
        <f>E49/C49%</f>
        <v>0</v>
      </c>
      <c r="G49" s="40"/>
      <c r="H49" s="42"/>
      <c r="I49" s="40"/>
      <c r="J49" s="42"/>
    </row>
    <row r="50" spans="1:10" s="19" customFormat="1" ht="31.5" x14ac:dyDescent="0.2">
      <c r="A50" s="10" t="s">
        <v>90</v>
      </c>
      <c r="B50" s="44"/>
      <c r="C50" s="40"/>
      <c r="D50" s="42">
        <v>0</v>
      </c>
      <c r="E50" s="40">
        <v>401</v>
      </c>
      <c r="F50" s="42">
        <v>0</v>
      </c>
      <c r="G50" s="40">
        <v>401</v>
      </c>
      <c r="H50" s="38"/>
      <c r="I50" s="40">
        <v>401</v>
      </c>
      <c r="J50" s="42">
        <v>0</v>
      </c>
    </row>
    <row r="51" spans="1:10" s="19" customFormat="1" ht="31.5" x14ac:dyDescent="0.2">
      <c r="A51" s="10" t="s">
        <v>72</v>
      </c>
      <c r="B51" s="44"/>
      <c r="C51" s="40">
        <v>301</v>
      </c>
      <c r="D51" s="42"/>
      <c r="E51" s="40"/>
      <c r="F51" s="42"/>
      <c r="G51" s="40"/>
      <c r="H51" s="42"/>
      <c r="I51" s="40"/>
      <c r="J51" s="42"/>
    </row>
    <row r="52" spans="1:10" s="19" customFormat="1" ht="63.75" customHeight="1" x14ac:dyDescent="0.2">
      <c r="A52" s="10" t="s">
        <v>73</v>
      </c>
      <c r="B52" s="44">
        <v>5684.1869999999999</v>
      </c>
      <c r="C52" s="40">
        <v>9823</v>
      </c>
      <c r="D52" s="42">
        <v>0</v>
      </c>
      <c r="E52" s="40">
        <v>10332</v>
      </c>
      <c r="F52" s="42">
        <v>0</v>
      </c>
      <c r="G52" s="40">
        <v>10332</v>
      </c>
      <c r="H52" s="42">
        <v>0</v>
      </c>
      <c r="I52" s="40">
        <v>10332</v>
      </c>
      <c r="J52" s="42">
        <v>0</v>
      </c>
    </row>
    <row r="53" spans="1:10" s="19" customFormat="1" ht="53.25" customHeight="1" x14ac:dyDescent="0.2">
      <c r="A53" s="10" t="s">
        <v>89</v>
      </c>
      <c r="B53" s="44"/>
      <c r="C53" s="40">
        <v>4574.3609999999999</v>
      </c>
      <c r="D53" s="42"/>
      <c r="E53" s="40"/>
      <c r="F53" s="42"/>
      <c r="G53" s="40"/>
      <c r="H53" s="42"/>
      <c r="I53" s="40"/>
      <c r="J53" s="42"/>
    </row>
    <row r="54" spans="1:10" s="19" customFormat="1" ht="32.25" hidden="1" customHeight="1" x14ac:dyDescent="0.2">
      <c r="A54" s="10" t="s">
        <v>96</v>
      </c>
      <c r="B54" s="44"/>
      <c r="C54" s="40"/>
      <c r="D54" s="42">
        <v>0</v>
      </c>
      <c r="E54" s="40"/>
      <c r="F54" s="42">
        <v>0</v>
      </c>
      <c r="G54" s="40"/>
      <c r="H54" s="42">
        <v>0</v>
      </c>
      <c r="I54" s="40"/>
      <c r="J54" s="42">
        <v>0</v>
      </c>
    </row>
    <row r="55" spans="1:10" s="19" customFormat="1" ht="24.75" customHeight="1" x14ac:dyDescent="0.2">
      <c r="A55" s="16" t="s">
        <v>57</v>
      </c>
      <c r="B55" s="37">
        <f>SUM(B56:B64)</f>
        <v>127442.41</v>
      </c>
      <c r="C55" s="37">
        <f>SUM(C56:C64)</f>
        <v>124497.41099999999</v>
      </c>
      <c r="D55" s="45">
        <f t="shared" si="4"/>
        <v>97.689153084911055</v>
      </c>
      <c r="E55" s="37">
        <f>SUM(E56:E64)</f>
        <v>135292.9</v>
      </c>
      <c r="F55" s="45">
        <f t="shared" si="5"/>
        <v>108.67125582233996</v>
      </c>
      <c r="G55" s="37">
        <f>SUM(G56:G64)</f>
        <v>67397.839000000007</v>
      </c>
      <c r="H55" s="45">
        <f>SUM(H56:H67)</f>
        <v>1320.9999999999998</v>
      </c>
      <c r="I55" s="37">
        <f>SUM(I56:I64)</f>
        <v>87909.432000000001</v>
      </c>
      <c r="J55" s="45">
        <f t="shared" si="5"/>
        <v>130.43360633565712</v>
      </c>
    </row>
    <row r="56" spans="1:10" s="19" customFormat="1" ht="33.75" customHeight="1" x14ac:dyDescent="0.2">
      <c r="A56" s="16" t="s">
        <v>58</v>
      </c>
      <c r="B56" s="46">
        <v>1901.229</v>
      </c>
      <c r="C56" s="40">
        <v>1310</v>
      </c>
      <c r="D56" s="42">
        <f t="shared" si="4"/>
        <v>68.902799189366462</v>
      </c>
      <c r="E56" s="40">
        <v>1775</v>
      </c>
      <c r="F56" s="42">
        <f t="shared" si="5"/>
        <v>135.49618320610688</v>
      </c>
      <c r="G56" s="40">
        <v>1775</v>
      </c>
      <c r="H56" s="42">
        <f t="shared" si="5"/>
        <v>100</v>
      </c>
      <c r="I56" s="40">
        <v>1775</v>
      </c>
      <c r="J56" s="42">
        <f t="shared" si="5"/>
        <v>100</v>
      </c>
    </row>
    <row r="57" spans="1:10" s="19" customFormat="1" ht="35.25" customHeight="1" x14ac:dyDescent="0.2">
      <c r="A57" s="16" t="s">
        <v>59</v>
      </c>
      <c r="B57" s="46">
        <v>102392.124</v>
      </c>
      <c r="C57" s="40">
        <v>116599.174</v>
      </c>
      <c r="D57" s="42">
        <f t="shared" si="4"/>
        <v>113.87513945896855</v>
      </c>
      <c r="E57" s="40">
        <v>125693</v>
      </c>
      <c r="F57" s="42">
        <f t="shared" si="5"/>
        <v>107.79921991557163</v>
      </c>
      <c r="G57" s="40">
        <v>61367.938999999998</v>
      </c>
      <c r="H57" s="42"/>
      <c r="I57" s="40">
        <v>81973.932000000001</v>
      </c>
      <c r="J57" s="42">
        <f t="shared" si="5"/>
        <v>133.57778236613095</v>
      </c>
    </row>
    <row r="58" spans="1:10" s="19" customFormat="1" ht="47.25" x14ac:dyDescent="0.2">
      <c r="A58" s="16" t="s">
        <v>74</v>
      </c>
      <c r="B58" s="43">
        <v>6484.1310000000003</v>
      </c>
      <c r="C58" s="46">
        <v>2679.2069999999999</v>
      </c>
      <c r="D58" s="42">
        <f t="shared" si="4"/>
        <v>41.319445890281976</v>
      </c>
      <c r="E58" s="40">
        <v>3716.4</v>
      </c>
      <c r="F58" s="42">
        <f>E58/C58%</f>
        <v>138.71268625380571</v>
      </c>
      <c r="G58" s="40">
        <v>0</v>
      </c>
      <c r="H58" s="42">
        <f>G58/E58%</f>
        <v>0</v>
      </c>
      <c r="I58" s="40">
        <v>0</v>
      </c>
      <c r="J58" s="42" t="e">
        <f t="shared" si="5"/>
        <v>#DIV/0!</v>
      </c>
    </row>
    <row r="59" spans="1:10" s="19" customFormat="1" ht="47.25" x14ac:dyDescent="0.2">
      <c r="A59" s="16" t="s">
        <v>75</v>
      </c>
      <c r="B59" s="39">
        <v>16.2</v>
      </c>
      <c r="C59" s="40">
        <v>6</v>
      </c>
      <c r="D59" s="42">
        <f t="shared" si="4"/>
        <v>37.037037037037038</v>
      </c>
      <c r="E59" s="40">
        <v>10</v>
      </c>
      <c r="F59" s="42">
        <f t="shared" si="5"/>
        <v>166.66666666666669</v>
      </c>
      <c r="G59" s="40">
        <v>122.1</v>
      </c>
      <c r="H59" s="42">
        <f t="shared" si="5"/>
        <v>1220.9999999999998</v>
      </c>
      <c r="I59" s="40">
        <v>13.4</v>
      </c>
      <c r="J59" s="42">
        <f t="shared" si="5"/>
        <v>10.974610974610977</v>
      </c>
    </row>
    <row r="60" spans="1:10" s="19" customFormat="1" ht="47.25" x14ac:dyDescent="0.2">
      <c r="A60" s="16" t="s">
        <v>76</v>
      </c>
      <c r="B60" s="39">
        <v>13824.956</v>
      </c>
      <c r="C60" s="40"/>
      <c r="D60" s="42">
        <f t="shared" si="4"/>
        <v>0</v>
      </c>
      <c r="E60" s="40"/>
      <c r="F60" s="42"/>
      <c r="G60" s="40"/>
      <c r="H60" s="42"/>
      <c r="I60" s="40"/>
      <c r="J60" s="42"/>
    </row>
    <row r="61" spans="1:10" s="19" customFormat="1" ht="31.5" x14ac:dyDescent="0.2">
      <c r="A61" s="16" t="s">
        <v>77</v>
      </c>
      <c r="B61" s="39">
        <v>2576.9699999999998</v>
      </c>
      <c r="C61" s="40">
        <v>1815</v>
      </c>
      <c r="D61" s="42">
        <f t="shared" si="4"/>
        <v>70.431553335894492</v>
      </c>
      <c r="E61" s="40">
        <v>1400</v>
      </c>
      <c r="F61" s="42">
        <f t="shared" si="5"/>
        <v>77.134986225895318</v>
      </c>
      <c r="G61" s="40">
        <v>1400</v>
      </c>
      <c r="H61" s="42"/>
      <c r="I61" s="40">
        <v>1400</v>
      </c>
      <c r="J61" s="42">
        <f t="shared" si="5"/>
        <v>100</v>
      </c>
    </row>
    <row r="62" spans="1:10" s="19" customFormat="1" ht="63" hidden="1" x14ac:dyDescent="0.2">
      <c r="A62" s="16" t="s">
        <v>78</v>
      </c>
      <c r="B62" s="39"/>
      <c r="C62" s="46"/>
      <c r="D62" s="42" t="e">
        <f t="shared" si="4"/>
        <v>#DIV/0!</v>
      </c>
      <c r="E62" s="40"/>
      <c r="F62" s="42" t="e">
        <f t="shared" si="5"/>
        <v>#DIV/0!</v>
      </c>
      <c r="G62" s="40"/>
      <c r="H62" s="42"/>
      <c r="I62" s="40"/>
      <c r="J62" s="42" t="e">
        <f t="shared" si="5"/>
        <v>#DIV/0!</v>
      </c>
    </row>
    <row r="63" spans="1:10" s="15" customFormat="1" ht="34.5" customHeight="1" x14ac:dyDescent="0.2">
      <c r="A63" s="16" t="s">
        <v>79</v>
      </c>
      <c r="B63" s="39">
        <v>246.8</v>
      </c>
      <c r="C63" s="40">
        <v>249.8</v>
      </c>
      <c r="D63" s="42">
        <f t="shared" si="4"/>
        <v>101.21555915721233</v>
      </c>
      <c r="E63" s="40">
        <v>350.5</v>
      </c>
      <c r="F63" s="42">
        <f t="shared" si="5"/>
        <v>140.31224979983986</v>
      </c>
      <c r="G63" s="40">
        <v>384.8</v>
      </c>
      <c r="H63" s="42">
        <v>0</v>
      </c>
      <c r="I63" s="40">
        <v>399.1</v>
      </c>
      <c r="J63" s="42">
        <v>0</v>
      </c>
    </row>
    <row r="64" spans="1:10" s="15" customFormat="1" ht="55.5" customHeight="1" x14ac:dyDescent="0.2">
      <c r="A64" s="16" t="s">
        <v>97</v>
      </c>
      <c r="B64" s="39"/>
      <c r="C64" s="40">
        <v>1838.23</v>
      </c>
      <c r="D64" s="42"/>
      <c r="E64" s="40">
        <v>2348</v>
      </c>
      <c r="F64" s="42">
        <f t="shared" si="5"/>
        <v>127.73156786691546</v>
      </c>
      <c r="G64" s="40">
        <v>2348</v>
      </c>
      <c r="H64" s="42"/>
      <c r="I64" s="40">
        <v>2348</v>
      </c>
      <c r="J64" s="42">
        <f t="shared" si="5"/>
        <v>100</v>
      </c>
    </row>
    <row r="65" spans="1:213" s="15" customFormat="1" ht="47.25" hidden="1" x14ac:dyDescent="0.2">
      <c r="A65" s="16" t="s">
        <v>81</v>
      </c>
      <c r="B65" s="44"/>
      <c r="C65" s="40"/>
      <c r="D65" s="42"/>
      <c r="E65" s="40"/>
      <c r="F65" s="42"/>
      <c r="G65" s="40"/>
      <c r="H65" s="42"/>
      <c r="I65" s="40"/>
      <c r="J65" s="42"/>
    </row>
    <row r="66" spans="1:213" s="15" customFormat="1" x14ac:dyDescent="0.2">
      <c r="A66" s="16" t="s">
        <v>65</v>
      </c>
      <c r="B66" s="47">
        <f>B67+B69+B68</f>
        <v>4479.8189999999995</v>
      </c>
      <c r="C66" s="37">
        <f>SUM(C67:C69)</f>
        <v>8343.7999999999993</v>
      </c>
      <c r="D66" s="37">
        <f t="shared" ref="D66:J66" si="6">SUM(D67:D69)</f>
        <v>205.08766843675713</v>
      </c>
      <c r="E66" s="37">
        <f>SUM(E67:E69)</f>
        <v>8413.3439999999991</v>
      </c>
      <c r="F66" s="37">
        <f t="shared" si="6"/>
        <v>143.58631766005342</v>
      </c>
      <c r="G66" s="37">
        <f t="shared" si="6"/>
        <v>8085.42</v>
      </c>
      <c r="H66" s="37">
        <f t="shared" si="6"/>
        <v>0</v>
      </c>
      <c r="I66" s="37">
        <f t="shared" si="6"/>
        <v>8085.42</v>
      </c>
      <c r="J66" s="37">
        <f t="shared" si="6"/>
        <v>0</v>
      </c>
    </row>
    <row r="67" spans="1:213" s="15" customFormat="1" ht="63" x14ac:dyDescent="0.2">
      <c r="A67" s="16" t="s">
        <v>82</v>
      </c>
      <c r="B67" s="44">
        <v>3645.953</v>
      </c>
      <c r="C67" s="40">
        <v>7477.4</v>
      </c>
      <c r="D67" s="42">
        <f t="shared" si="4"/>
        <v>205.08766843675713</v>
      </c>
      <c r="E67" s="40">
        <v>7905.7439999999997</v>
      </c>
      <c r="F67" s="42">
        <f t="shared" si="5"/>
        <v>105.72851525931473</v>
      </c>
      <c r="G67" s="40">
        <v>7905.7439999999997</v>
      </c>
      <c r="H67" s="42"/>
      <c r="I67" s="40">
        <v>7905.7439999999997</v>
      </c>
      <c r="J67" s="42"/>
    </row>
    <row r="68" spans="1:213" s="15" customFormat="1" ht="63" x14ac:dyDescent="0.2">
      <c r="A68" s="16" t="s">
        <v>83</v>
      </c>
      <c r="B68" s="44">
        <v>833.86599999999999</v>
      </c>
      <c r="C68" s="40">
        <v>866.4</v>
      </c>
      <c r="D68" s="42">
        <v>0</v>
      </c>
      <c r="E68" s="40">
        <v>328</v>
      </c>
      <c r="F68" s="42">
        <f t="shared" si="5"/>
        <v>37.857802400738692</v>
      </c>
      <c r="G68" s="40"/>
      <c r="H68" s="42"/>
      <c r="I68" s="40"/>
      <c r="J68" s="42"/>
    </row>
    <row r="69" spans="1:213" s="15" customFormat="1" ht="94.5" x14ac:dyDescent="0.2">
      <c r="A69" s="16" t="s">
        <v>112</v>
      </c>
      <c r="B69" s="44"/>
      <c r="C69" s="40"/>
      <c r="D69" s="42">
        <v>0</v>
      </c>
      <c r="E69" s="40">
        <v>179.6</v>
      </c>
      <c r="F69" s="42"/>
      <c r="G69" s="40">
        <v>179.67599999999999</v>
      </c>
      <c r="H69" s="42"/>
      <c r="I69" s="40">
        <v>179.67599999999999</v>
      </c>
      <c r="J69" s="42"/>
    </row>
    <row r="70" spans="1:213" s="15" customFormat="1" hidden="1" x14ac:dyDescent="0.2">
      <c r="A70" s="16" t="s">
        <v>17</v>
      </c>
      <c r="B70" s="46"/>
      <c r="C70" s="40"/>
      <c r="D70" s="38"/>
      <c r="E70" s="40"/>
      <c r="F70" s="38"/>
      <c r="G70" s="40"/>
      <c r="H70" s="38"/>
      <c r="I70" s="40"/>
      <c r="J70" s="38"/>
      <c r="HE70" s="17">
        <v>153900.098</v>
      </c>
    </row>
    <row r="71" spans="1:213" s="15" customFormat="1" ht="31.5" hidden="1" x14ac:dyDescent="0.2">
      <c r="A71" s="16" t="s">
        <v>16</v>
      </c>
      <c r="B71" s="46"/>
      <c r="C71" s="40"/>
      <c r="D71" s="38"/>
      <c r="E71" s="40"/>
      <c r="F71" s="38"/>
      <c r="G71" s="40"/>
      <c r="H71" s="38"/>
      <c r="I71" s="40"/>
      <c r="J71" s="38"/>
    </row>
    <row r="72" spans="1:213" s="13" customFormat="1" x14ac:dyDescent="0.2">
      <c r="A72" s="14" t="s">
        <v>15</v>
      </c>
      <c r="B72" s="48">
        <f>B33+B37</f>
        <v>231908.399</v>
      </c>
      <c r="C72" s="37">
        <f>C33+C37</f>
        <v>244158.272</v>
      </c>
      <c r="D72" s="49">
        <f t="shared" si="4"/>
        <v>105.28220325474283</v>
      </c>
      <c r="E72" s="37">
        <f>E33+E37</f>
        <v>264391.08600000001</v>
      </c>
      <c r="F72" s="49">
        <f t="shared" si="5"/>
        <v>108.28676162976777</v>
      </c>
      <c r="G72" s="37">
        <f>G33+G37</f>
        <v>173700.57400000002</v>
      </c>
      <c r="H72" s="49">
        <f t="shared" si="5"/>
        <v>65.698347333843174</v>
      </c>
      <c r="I72" s="57">
        <f>I33+I37</f>
        <v>198532.875</v>
      </c>
      <c r="J72" s="49">
        <f t="shared" si="5"/>
        <v>114.296038538134</v>
      </c>
    </row>
    <row r="73" spans="1:213" s="11" customFormat="1" ht="11.25" customHeight="1" x14ac:dyDescent="0.2">
      <c r="A73" s="12"/>
      <c r="B73" s="50"/>
      <c r="C73" s="50"/>
      <c r="D73" s="38"/>
      <c r="E73" s="50"/>
      <c r="F73" s="38"/>
      <c r="G73" s="50"/>
      <c r="H73" s="38"/>
      <c r="I73" s="50"/>
      <c r="J73" s="38"/>
    </row>
    <row r="74" spans="1:213" s="6" customFormat="1" x14ac:dyDescent="0.2">
      <c r="A74" s="5" t="s">
        <v>14</v>
      </c>
      <c r="B74" s="50">
        <f>B34+B72-B93</f>
        <v>11002.820000000007</v>
      </c>
      <c r="C74" s="50">
        <f>C34+C72-C93</f>
        <v>-1919.6276300000318</v>
      </c>
      <c r="D74" s="49"/>
      <c r="E74" s="50">
        <f>E72-E93</f>
        <v>-1.4000000024680048E-2</v>
      </c>
      <c r="F74" s="49"/>
      <c r="G74" s="50">
        <f>G72-G93</f>
        <v>3.999999986262992E-3</v>
      </c>
      <c r="H74" s="49"/>
      <c r="I74" s="50">
        <f>I72-I93</f>
        <v>2.9999999969732016E-3</v>
      </c>
      <c r="J74" s="49"/>
    </row>
    <row r="75" spans="1:213" s="6" customFormat="1" x14ac:dyDescent="0.2">
      <c r="A75" s="8" t="s">
        <v>13</v>
      </c>
      <c r="B75" s="51">
        <f>B72/B33</f>
        <v>5.9379282117932863</v>
      </c>
      <c r="C75" s="51">
        <f>C72/C33</f>
        <v>5.3804242491020071</v>
      </c>
      <c r="D75" s="38"/>
      <c r="E75" s="51">
        <f>E72/E33</f>
        <v>5.3635551182699723</v>
      </c>
      <c r="F75" s="38"/>
      <c r="G75" s="51">
        <f>G72/G33</f>
        <v>3.1044014440691297</v>
      </c>
      <c r="H75" s="38"/>
      <c r="I75" s="51">
        <f>I72/I33</f>
        <v>2.9252364849931487</v>
      </c>
      <c r="J75" s="38"/>
    </row>
    <row r="76" spans="1:213" s="6" customFormat="1" x14ac:dyDescent="0.2">
      <c r="A76" s="10"/>
      <c r="B76" s="32"/>
      <c r="C76" s="32"/>
      <c r="D76" s="38"/>
      <c r="E76" s="32"/>
      <c r="F76" s="38"/>
      <c r="G76" s="32"/>
      <c r="H76" s="38"/>
      <c r="I76" s="32"/>
      <c r="J76" s="38"/>
    </row>
    <row r="77" spans="1:213" s="6" customFormat="1" x14ac:dyDescent="0.2">
      <c r="A77" s="9" t="s">
        <v>12</v>
      </c>
      <c r="B77" s="32"/>
      <c r="C77" s="32"/>
      <c r="D77" s="38"/>
      <c r="E77" s="32"/>
      <c r="F77" s="38"/>
      <c r="G77" s="32"/>
      <c r="H77" s="38"/>
      <c r="I77" s="32"/>
      <c r="J77" s="38"/>
    </row>
    <row r="78" spans="1:213" s="6" customFormat="1" x14ac:dyDescent="0.2">
      <c r="A78" s="5" t="s">
        <v>11</v>
      </c>
      <c r="B78" s="32">
        <v>32827.485000000001</v>
      </c>
      <c r="C78" s="32">
        <v>36049.212119999997</v>
      </c>
      <c r="D78" s="38">
        <f t="shared" si="4"/>
        <v>109.81411497103721</v>
      </c>
      <c r="E78" s="6">
        <f>27193+11739.2+268</f>
        <v>39200.199999999997</v>
      </c>
      <c r="F78" s="38">
        <v>116.02822413326471</v>
      </c>
      <c r="G78" s="32">
        <f>23438.076+11425.7-2</f>
        <v>34861.775999999998</v>
      </c>
      <c r="H78" s="38">
        <v>86.191578715110495</v>
      </c>
      <c r="I78" s="32">
        <f>23214.522+11548.82-2</f>
        <v>34761.342000000004</v>
      </c>
      <c r="J78" s="38">
        <v>99.046193040759846</v>
      </c>
      <c r="K78" s="29"/>
    </row>
    <row r="79" spans="1:213" s="6" customFormat="1" x14ac:dyDescent="0.2">
      <c r="A79" s="5" t="s">
        <v>10</v>
      </c>
      <c r="B79" s="32">
        <v>246.8</v>
      </c>
      <c r="C79" s="32">
        <v>249.8</v>
      </c>
      <c r="D79" s="38">
        <f t="shared" si="4"/>
        <v>101.21555915721233</v>
      </c>
      <c r="E79" s="6">
        <v>350.5</v>
      </c>
      <c r="F79" s="38">
        <v>140.31224979983986</v>
      </c>
      <c r="G79" s="32">
        <v>384.8</v>
      </c>
      <c r="H79" s="38">
        <v>0</v>
      </c>
      <c r="I79" s="32">
        <v>399.1</v>
      </c>
      <c r="J79" s="38">
        <v>0</v>
      </c>
      <c r="K79" s="29"/>
    </row>
    <row r="80" spans="1:213" s="6" customFormat="1" ht="31.5" x14ac:dyDescent="0.2">
      <c r="A80" s="8" t="s">
        <v>9</v>
      </c>
      <c r="B80" s="32">
        <v>3208</v>
      </c>
      <c r="C80" s="32">
        <v>2881.2806500000002</v>
      </c>
      <c r="D80" s="38">
        <f t="shared" si="4"/>
        <v>89.815481608478819</v>
      </c>
      <c r="E80" s="6">
        <f>3356.9+20</f>
        <v>3376.9</v>
      </c>
      <c r="F80" s="38">
        <v>116.77433044954412</v>
      </c>
      <c r="G80" s="32">
        <f>2864.767+20</f>
        <v>2884.7669999999998</v>
      </c>
      <c r="H80" s="38">
        <v>85.339658613601827</v>
      </c>
      <c r="I80" s="32">
        <f>2989.767+20</f>
        <v>3009.7669999999998</v>
      </c>
      <c r="J80" s="38">
        <v>104.36335660107785</v>
      </c>
      <c r="K80" s="29"/>
    </row>
    <row r="81" spans="1:215" s="6" customFormat="1" x14ac:dyDescent="0.2">
      <c r="A81" s="5" t="s">
        <v>8</v>
      </c>
      <c r="B81" s="32">
        <v>21191.486000000001</v>
      </c>
      <c r="C81" s="32">
        <v>30509.845229999999</v>
      </c>
      <c r="D81" s="38">
        <f>C81/B81%</f>
        <v>143.97218406486454</v>
      </c>
      <c r="E81" s="6">
        <f>20362.3+3230.5</f>
        <v>23592.799999999999</v>
      </c>
      <c r="F81" s="38">
        <v>72.140332668248149</v>
      </c>
      <c r="G81" s="32">
        <f>19401.096+2419.2</f>
        <v>21820.296000000002</v>
      </c>
      <c r="H81" s="38">
        <v>124</v>
      </c>
      <c r="I81" s="32">
        <f>23454.1+2419.2</f>
        <v>25873.3</v>
      </c>
      <c r="J81" s="38">
        <v>120.89059298505609</v>
      </c>
      <c r="K81" s="29"/>
    </row>
    <row r="82" spans="1:215" s="6" customFormat="1" x14ac:dyDescent="0.2">
      <c r="A82" s="5" t="s">
        <v>7</v>
      </c>
      <c r="B82" s="32">
        <v>504</v>
      </c>
      <c r="C82" s="32">
        <v>7998.5600199999999</v>
      </c>
      <c r="D82" s="38"/>
      <c r="E82" s="6">
        <f>2041.2+1167</f>
        <v>3208.2</v>
      </c>
      <c r="F82" s="38">
        <v>26.309005794889774</v>
      </c>
      <c r="G82" s="32">
        <f>111.68+800</f>
        <v>911.68000000000006</v>
      </c>
      <c r="H82" s="38">
        <v>5.4712913972173238</v>
      </c>
      <c r="I82" s="32">
        <f>1300.24+400</f>
        <v>1700.24</v>
      </c>
      <c r="J82" s="38">
        <v>1164.2550143266476</v>
      </c>
      <c r="K82" s="29"/>
    </row>
    <row r="83" spans="1:215" s="6" customFormat="1" x14ac:dyDescent="0.2">
      <c r="A83" s="5" t="s">
        <v>6</v>
      </c>
      <c r="B83" s="32">
        <v>180</v>
      </c>
      <c r="C83" s="32">
        <v>8</v>
      </c>
      <c r="D83" s="38">
        <f t="shared" si="4"/>
        <v>4.4444444444444446</v>
      </c>
      <c r="E83" s="6">
        <v>250</v>
      </c>
      <c r="F83" s="38">
        <v>3125</v>
      </c>
      <c r="G83" s="32">
        <v>300</v>
      </c>
      <c r="H83" s="38">
        <v>120</v>
      </c>
      <c r="I83" s="32">
        <v>200</v>
      </c>
      <c r="J83" s="38">
        <v>0</v>
      </c>
      <c r="K83" s="29"/>
    </row>
    <row r="84" spans="1:215" s="6" customFormat="1" x14ac:dyDescent="0.2">
      <c r="A84" s="5" t="s">
        <v>5</v>
      </c>
      <c r="B84" s="32">
        <v>124122.3</v>
      </c>
      <c r="C84" s="32">
        <v>145485.44415</v>
      </c>
      <c r="D84" s="38">
        <f t="shared" si="4"/>
        <v>117.21136665208428</v>
      </c>
      <c r="E84" s="6">
        <v>157515.9</v>
      </c>
      <c r="F84" s="38">
        <v>108.26918189836229</v>
      </c>
      <c r="G84" s="32">
        <v>86280.075000000012</v>
      </c>
      <c r="H84" s="38">
        <v>54.775470285856869</v>
      </c>
      <c r="I84" s="32">
        <v>106232.023</v>
      </c>
      <c r="J84" s="38">
        <v>123.12462987543762</v>
      </c>
      <c r="K84" s="29"/>
    </row>
    <row r="85" spans="1:215" s="6" customFormat="1" x14ac:dyDescent="0.2">
      <c r="A85" s="5" t="s">
        <v>61</v>
      </c>
      <c r="B85" s="32">
        <v>13521.01</v>
      </c>
      <c r="C85" s="32">
        <v>15619.29573</v>
      </c>
      <c r="D85" s="38">
        <f t="shared" si="4"/>
        <v>115.51870555528025</v>
      </c>
      <c r="E85" s="6">
        <f>2184+15462</f>
        <v>17646</v>
      </c>
      <c r="F85" s="38">
        <v>110.26354704300327</v>
      </c>
      <c r="G85" s="32">
        <f>1814.337+11886.1</f>
        <v>13700.437</v>
      </c>
      <c r="H85" s="38">
        <v>83.074038461538464</v>
      </c>
      <c r="I85" s="32">
        <f>1814.3+11886.1</f>
        <v>13700.4</v>
      </c>
      <c r="J85" s="38">
        <v>99.997960687567954</v>
      </c>
      <c r="K85" s="29"/>
    </row>
    <row r="86" spans="1:215" s="6" customFormat="1" x14ac:dyDescent="0.2">
      <c r="A86" s="5" t="s">
        <v>4</v>
      </c>
      <c r="B86" s="32">
        <v>229.6</v>
      </c>
      <c r="C86" s="32">
        <v>300</v>
      </c>
      <c r="D86" s="38">
        <f t="shared" si="4"/>
        <v>130.66202090592336</v>
      </c>
      <c r="E86" s="6">
        <v>402</v>
      </c>
      <c r="F86" s="38">
        <v>134</v>
      </c>
      <c r="G86" s="32">
        <v>400</v>
      </c>
      <c r="H86" s="38">
        <v>99.50248756218906</v>
      </c>
      <c r="I86" s="32">
        <v>500</v>
      </c>
      <c r="J86" s="38">
        <v>125</v>
      </c>
      <c r="K86" s="29"/>
    </row>
    <row r="87" spans="1:215" s="6" customFormat="1" x14ac:dyDescent="0.2">
      <c r="A87" s="5" t="s">
        <v>3</v>
      </c>
      <c r="B87" s="32">
        <v>30948.400000000001</v>
      </c>
      <c r="C87" s="32">
        <v>12622.121730000001</v>
      </c>
      <c r="D87" s="38">
        <f t="shared" si="4"/>
        <v>40.784408014630799</v>
      </c>
      <c r="E87" s="6">
        <v>16349.9</v>
      </c>
      <c r="F87" s="38">
        <v>129.53369722885719</v>
      </c>
      <c r="G87" s="32">
        <v>11356.739</v>
      </c>
      <c r="H87" s="38">
        <v>69.460602205518072</v>
      </c>
      <c r="I87" s="32">
        <v>11356.7</v>
      </c>
      <c r="J87" s="38">
        <v>99.999656591562086</v>
      </c>
      <c r="K87" s="29"/>
    </row>
    <row r="88" spans="1:215" s="6" customFormat="1" x14ac:dyDescent="0.2">
      <c r="A88" s="5" t="s">
        <v>2</v>
      </c>
      <c r="B88" s="32">
        <v>1264.9000000000001</v>
      </c>
      <c r="C88" s="32">
        <v>2107.1</v>
      </c>
      <c r="D88" s="38">
        <f t="shared" si="4"/>
        <v>166.58233852478455</v>
      </c>
      <c r="E88" s="6">
        <v>700</v>
      </c>
      <c r="F88" s="38">
        <v>33.221014664705045</v>
      </c>
      <c r="G88" s="32">
        <v>700</v>
      </c>
      <c r="H88" s="38">
        <v>100</v>
      </c>
      <c r="I88" s="32">
        <v>700</v>
      </c>
      <c r="J88" s="38">
        <v>0</v>
      </c>
      <c r="K88" s="29"/>
    </row>
    <row r="89" spans="1:215" s="6" customFormat="1" x14ac:dyDescent="0.2">
      <c r="A89" s="5" t="s">
        <v>1</v>
      </c>
      <c r="B89" s="32">
        <v>125.8</v>
      </c>
      <c r="C89" s="32">
        <v>22</v>
      </c>
      <c r="D89" s="38">
        <f t="shared" si="4"/>
        <v>17.488076311605724</v>
      </c>
      <c r="E89" s="6">
        <v>60</v>
      </c>
      <c r="F89" s="38">
        <v>272.72727272727275</v>
      </c>
      <c r="G89" s="32">
        <v>100</v>
      </c>
      <c r="H89" s="38">
        <v>166.66666666666669</v>
      </c>
      <c r="I89" s="32">
        <v>100</v>
      </c>
      <c r="J89" s="38">
        <v>0</v>
      </c>
      <c r="K89" s="29"/>
    </row>
    <row r="90" spans="1:215" s="6" customFormat="1" ht="30.75" customHeight="1" x14ac:dyDescent="0.2">
      <c r="A90" s="5" t="s">
        <v>84</v>
      </c>
      <c r="B90" s="32"/>
      <c r="C90" s="32"/>
      <c r="D90" s="38"/>
      <c r="E90" s="52"/>
      <c r="F90" s="38"/>
      <c r="G90" s="32"/>
      <c r="H90" s="38"/>
      <c r="I90" s="32"/>
      <c r="J90" s="38"/>
      <c r="K90" s="29"/>
    </row>
    <row r="91" spans="1:215" s="6" customFormat="1" ht="47.25" x14ac:dyDescent="0.2">
      <c r="A91" s="5" t="s">
        <v>62</v>
      </c>
      <c r="B91" s="52"/>
      <c r="C91" s="52">
        <v>3227.9</v>
      </c>
      <c r="D91" s="38"/>
      <c r="E91" s="52">
        <f>286.2+1452.5</f>
        <v>1738.7</v>
      </c>
      <c r="F91" s="38">
        <f t="shared" si="5"/>
        <v>53.864741782583096</v>
      </c>
      <c r="G91" s="52"/>
      <c r="H91" s="38"/>
      <c r="I91" s="52"/>
      <c r="J91" s="38"/>
      <c r="K91" s="29"/>
    </row>
    <row r="92" spans="1:215" s="6" customFormat="1" x14ac:dyDescent="0.2">
      <c r="A92" s="5"/>
      <c r="B92" s="52"/>
      <c r="C92" s="52"/>
      <c r="D92" s="53"/>
      <c r="E92" s="52"/>
      <c r="F92" s="53"/>
      <c r="G92" s="52"/>
      <c r="H92" s="53"/>
      <c r="I92" s="52"/>
      <c r="J92" s="53"/>
    </row>
    <row r="93" spans="1:215" x14ac:dyDescent="0.25">
      <c r="A93" s="5" t="s">
        <v>0</v>
      </c>
      <c r="B93" s="54">
        <f>SUM(B78:B91)</f>
        <v>228369.78099999999</v>
      </c>
      <c r="C93" s="55">
        <f>SUM(C78:C91)</f>
        <v>257080.55963000003</v>
      </c>
      <c r="D93" s="56">
        <v>124.84773935280262</v>
      </c>
      <c r="E93" s="55">
        <f>SUM(E78:E91)</f>
        <v>264391.10000000003</v>
      </c>
      <c r="F93" s="56">
        <f>E93/C93%</f>
        <v>102.84367685387087</v>
      </c>
      <c r="G93" s="55">
        <f>SUM(G78:G91)</f>
        <v>173700.57000000004</v>
      </c>
      <c r="H93" s="56">
        <f>G93/E93%</f>
        <v>65.698342342083379</v>
      </c>
      <c r="I93" s="55">
        <f>SUM(I78:I91)</f>
        <v>198532.872</v>
      </c>
      <c r="J93" s="56">
        <f>I93/G93%</f>
        <v>114.29603944304844</v>
      </c>
      <c r="K93" s="30"/>
      <c r="L93" s="30"/>
    </row>
    <row r="94" spans="1:215" s="2" customFormat="1" x14ac:dyDescent="0.25">
      <c r="A94" s="3"/>
      <c r="C94" s="33"/>
      <c r="D94" s="7"/>
      <c r="E94" s="7"/>
      <c r="G94" s="7"/>
      <c r="I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</row>
    <row r="95" spans="1:215" s="2" customFormat="1" x14ac:dyDescent="0.25">
      <c r="A95" s="3"/>
      <c r="C95" s="33"/>
      <c r="D95" s="7"/>
      <c r="E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</row>
    <row r="96" spans="1:215" s="2" customFormat="1" x14ac:dyDescent="0.25">
      <c r="A96" s="3"/>
      <c r="C96" s="33"/>
      <c r="D96" s="7"/>
      <c r="E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</row>
    <row r="97" spans="1:215" s="2" customFormat="1" x14ac:dyDescent="0.25">
      <c r="A97" s="3"/>
      <c r="C97" s="33"/>
      <c r="D97" s="7"/>
      <c r="E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</row>
    <row r="98" spans="1:215" s="2" customFormat="1" x14ac:dyDescent="0.25">
      <c r="A98" s="3"/>
      <c r="C98" s="33"/>
      <c r="D98" s="7"/>
      <c r="E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</row>
    <row r="99" spans="1:215" s="2" customFormat="1" x14ac:dyDescent="0.25">
      <c r="A99" s="3"/>
      <c r="C99" s="33"/>
      <c r="D99" s="7"/>
      <c r="E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</row>
    <row r="100" spans="1:215" s="2" customFormat="1" x14ac:dyDescent="0.25">
      <c r="A100" s="3"/>
      <c r="C100" s="33"/>
      <c r="D100" s="7"/>
      <c r="E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</row>
    <row r="101" spans="1:215" s="2" customFormat="1" x14ac:dyDescent="0.25">
      <c r="A101" s="3"/>
      <c r="C101" s="33"/>
      <c r="D101" s="7"/>
      <c r="E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</row>
    <row r="102" spans="1:215" s="2" customFormat="1" x14ac:dyDescent="0.25">
      <c r="A102" s="3"/>
      <c r="C102" s="33"/>
      <c r="D102" s="7"/>
      <c r="E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</row>
    <row r="103" spans="1:215" s="2" customFormat="1" x14ac:dyDescent="0.25">
      <c r="A103" s="3"/>
      <c r="C103" s="33"/>
      <c r="D103" s="7"/>
      <c r="E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</row>
    <row r="104" spans="1:215" s="2" customFormat="1" x14ac:dyDescent="0.25">
      <c r="A104" s="3"/>
      <c r="C104" s="33"/>
      <c r="D104" s="7"/>
      <c r="E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</row>
    <row r="105" spans="1:215" s="2" customFormat="1" x14ac:dyDescent="0.25">
      <c r="A105" s="3"/>
      <c r="C105" s="33"/>
      <c r="D105" s="7"/>
      <c r="E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</row>
    <row r="106" spans="1:215" s="2" customFormat="1" x14ac:dyDescent="0.25">
      <c r="A106" s="3"/>
      <c r="C106" s="33"/>
      <c r="D106" s="7"/>
      <c r="E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</row>
    <row r="107" spans="1:215" s="2" customFormat="1" x14ac:dyDescent="0.25">
      <c r="A107" s="3"/>
      <c r="C107" s="33"/>
      <c r="D107" s="7"/>
      <c r="E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</row>
    <row r="108" spans="1:215" s="2" customFormat="1" x14ac:dyDescent="0.25">
      <c r="A108" s="3"/>
      <c r="C108" s="33"/>
      <c r="D108" s="7"/>
      <c r="E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</row>
    <row r="109" spans="1:215" s="2" customFormat="1" x14ac:dyDescent="0.25">
      <c r="A109" s="3"/>
      <c r="C109" s="33"/>
      <c r="D109" s="7"/>
      <c r="E109" s="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</row>
    <row r="110" spans="1:215" s="2" customFormat="1" x14ac:dyDescent="0.25">
      <c r="A110" s="3"/>
      <c r="C110" s="33"/>
      <c r="D110" s="4"/>
      <c r="E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</row>
    <row r="111" spans="1:215" s="2" customFormat="1" x14ac:dyDescent="0.25">
      <c r="A111" s="3"/>
      <c r="C111" s="3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</row>
    <row r="112" spans="1:215" s="2" customFormat="1" x14ac:dyDescent="0.25">
      <c r="A112" s="3"/>
      <c r="C112" s="3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</row>
    <row r="113" spans="1:215" s="2" customFormat="1" x14ac:dyDescent="0.25">
      <c r="A113" s="3"/>
      <c r="C113" s="3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</row>
    <row r="114" spans="1:215" s="2" customFormat="1" x14ac:dyDescent="0.25">
      <c r="A114" s="3"/>
      <c r="C114" s="3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</row>
    <row r="115" spans="1:215" s="2" customFormat="1" x14ac:dyDescent="0.25">
      <c r="A115" s="3"/>
      <c r="C115" s="3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</row>
    <row r="116" spans="1:215" s="2" customFormat="1" x14ac:dyDescent="0.25">
      <c r="A116" s="3"/>
      <c r="C116" s="3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</row>
    <row r="117" spans="1:215" s="2" customFormat="1" x14ac:dyDescent="0.25">
      <c r="A117" s="3"/>
      <c r="C117" s="3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</row>
    <row r="118" spans="1:215" s="2" customFormat="1" x14ac:dyDescent="0.25">
      <c r="A118" s="3"/>
      <c r="C118" s="3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</row>
    <row r="119" spans="1:215" s="2" customFormat="1" x14ac:dyDescent="0.25">
      <c r="A119" s="3"/>
      <c r="C119" s="3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</row>
    <row r="120" spans="1:215" s="2" customFormat="1" x14ac:dyDescent="0.25">
      <c r="A120" s="3"/>
      <c r="C120" s="3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</row>
    <row r="121" spans="1:215" s="2" customFormat="1" x14ac:dyDescent="0.25">
      <c r="A121" s="3"/>
      <c r="C121" s="3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</row>
    <row r="122" spans="1:215" s="2" customFormat="1" x14ac:dyDescent="0.25">
      <c r="A122" s="3"/>
      <c r="C122" s="3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</row>
    <row r="123" spans="1:215" s="2" customFormat="1" x14ac:dyDescent="0.25">
      <c r="A123" s="3"/>
      <c r="C123" s="3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</row>
    <row r="124" spans="1:215" s="2" customFormat="1" x14ac:dyDescent="0.25">
      <c r="A124" s="3"/>
      <c r="C124" s="3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</row>
    <row r="125" spans="1:215" s="2" customFormat="1" x14ac:dyDescent="0.25">
      <c r="A125" s="3"/>
      <c r="C125" s="3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</row>
    <row r="126" spans="1:215" s="2" customFormat="1" x14ac:dyDescent="0.25">
      <c r="A126" s="3"/>
      <c r="C126" s="3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</row>
    <row r="127" spans="1:215" s="2" customFormat="1" x14ac:dyDescent="0.25">
      <c r="A127" s="3"/>
      <c r="C127" s="3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</row>
    <row r="128" spans="1:215" s="2" customFormat="1" x14ac:dyDescent="0.25">
      <c r="A128" s="3"/>
      <c r="C128" s="3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</row>
    <row r="129" spans="1:215" s="2" customFormat="1" x14ac:dyDescent="0.25">
      <c r="A129" s="3"/>
      <c r="C129" s="3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</row>
    <row r="130" spans="1:215" s="2" customFormat="1" x14ac:dyDescent="0.25">
      <c r="A130" s="3"/>
      <c r="C130" s="3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</row>
    <row r="131" spans="1:215" s="2" customFormat="1" x14ac:dyDescent="0.25">
      <c r="A131" s="3"/>
      <c r="C131" s="3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</row>
    <row r="132" spans="1:215" s="2" customFormat="1" x14ac:dyDescent="0.25">
      <c r="A132" s="3"/>
      <c r="C132" s="3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</row>
    <row r="133" spans="1:215" s="2" customFormat="1" x14ac:dyDescent="0.25">
      <c r="A133" s="3"/>
      <c r="C133" s="3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</row>
    <row r="134" spans="1:215" s="2" customFormat="1" x14ac:dyDescent="0.25">
      <c r="A134" s="3"/>
      <c r="C134" s="3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</row>
    <row r="135" spans="1:215" s="2" customFormat="1" x14ac:dyDescent="0.25">
      <c r="A135" s="3"/>
      <c r="C135" s="3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</row>
    <row r="136" spans="1:215" s="2" customFormat="1" x14ac:dyDescent="0.25">
      <c r="A136" s="3"/>
      <c r="C136" s="3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</row>
    <row r="137" spans="1:215" s="2" customFormat="1" x14ac:dyDescent="0.25">
      <c r="A137" s="3"/>
      <c r="C137" s="3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</row>
    <row r="138" spans="1:215" s="2" customFormat="1" x14ac:dyDescent="0.25">
      <c r="A138" s="3"/>
      <c r="C138" s="3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</row>
    <row r="139" spans="1:215" s="2" customFormat="1" x14ac:dyDescent="0.25">
      <c r="A139" s="3"/>
      <c r="C139" s="3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</row>
    <row r="140" spans="1:215" s="2" customFormat="1" x14ac:dyDescent="0.25">
      <c r="A140" s="3"/>
      <c r="C140" s="3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</row>
    <row r="141" spans="1:215" s="2" customFormat="1" x14ac:dyDescent="0.25">
      <c r="A141" s="3"/>
      <c r="C141" s="3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</row>
    <row r="142" spans="1:215" s="2" customFormat="1" x14ac:dyDescent="0.25">
      <c r="A142" s="3"/>
      <c r="C142" s="3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</row>
    <row r="143" spans="1:215" s="2" customFormat="1" x14ac:dyDescent="0.25">
      <c r="A143" s="3"/>
      <c r="C143" s="3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</row>
    <row r="144" spans="1:215" s="2" customFormat="1" x14ac:dyDescent="0.25">
      <c r="A144" s="3"/>
      <c r="C144" s="3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</row>
    <row r="145" spans="1:215" s="2" customFormat="1" x14ac:dyDescent="0.25">
      <c r="A145" s="3"/>
      <c r="C145" s="3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</row>
    <row r="146" spans="1:215" s="2" customFormat="1" x14ac:dyDescent="0.25">
      <c r="A146" s="3"/>
      <c r="C146" s="3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</row>
    <row r="147" spans="1:215" s="2" customFormat="1" x14ac:dyDescent="0.25">
      <c r="A147" s="3"/>
      <c r="C147" s="3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</row>
    <row r="148" spans="1:215" s="2" customFormat="1" x14ac:dyDescent="0.25">
      <c r="A148" s="3"/>
      <c r="C148" s="3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</row>
    <row r="149" spans="1:215" s="2" customFormat="1" x14ac:dyDescent="0.25">
      <c r="A149" s="3"/>
      <c r="C149" s="3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</row>
    <row r="150" spans="1:215" s="2" customFormat="1" x14ac:dyDescent="0.25">
      <c r="A150" s="3"/>
      <c r="C150" s="3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</row>
    <row r="151" spans="1:215" s="2" customFormat="1" x14ac:dyDescent="0.25">
      <c r="A151" s="3"/>
      <c r="C151" s="3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</row>
    <row r="152" spans="1:215" s="2" customFormat="1" x14ac:dyDescent="0.25">
      <c r="A152" s="3"/>
      <c r="C152" s="3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</row>
    <row r="153" spans="1:215" s="2" customFormat="1" x14ac:dyDescent="0.25">
      <c r="A153" s="3"/>
      <c r="C153" s="3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</row>
    <row r="154" spans="1:215" s="2" customFormat="1" x14ac:dyDescent="0.25">
      <c r="A154" s="3"/>
      <c r="C154" s="3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</row>
    <row r="155" spans="1:215" s="2" customFormat="1" x14ac:dyDescent="0.25">
      <c r="A155" s="3"/>
      <c r="C155" s="3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</row>
    <row r="156" spans="1:215" s="2" customFormat="1" x14ac:dyDescent="0.25">
      <c r="A156" s="3"/>
      <c r="C156" s="3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</row>
    <row r="157" spans="1:215" s="2" customFormat="1" x14ac:dyDescent="0.25">
      <c r="A157" s="3"/>
      <c r="C157" s="3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</row>
    <row r="158" spans="1:215" s="2" customFormat="1" x14ac:dyDescent="0.25">
      <c r="A158" s="3"/>
      <c r="C158" s="3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</row>
    <row r="159" spans="1:215" s="2" customFormat="1" x14ac:dyDescent="0.25">
      <c r="A159" s="3"/>
      <c r="C159" s="3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2" customFormat="1" x14ac:dyDescent="0.25">
      <c r="A160" s="3"/>
      <c r="C160" s="3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215" s="2" customFormat="1" x14ac:dyDescent="0.25">
      <c r="A161" s="3"/>
      <c r="C161" s="3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</row>
    <row r="162" spans="1:215" s="2" customFormat="1" x14ac:dyDescent="0.25">
      <c r="A162" s="3"/>
      <c r="C162" s="3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</row>
    <row r="163" spans="1:215" s="2" customFormat="1" x14ac:dyDescent="0.25">
      <c r="A163" s="3"/>
      <c r="C163" s="3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</row>
    <row r="164" spans="1:215" s="2" customFormat="1" x14ac:dyDescent="0.25">
      <c r="A164" s="3"/>
      <c r="C164" s="3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</row>
    <row r="165" spans="1:215" s="2" customFormat="1" x14ac:dyDescent="0.25">
      <c r="A165" s="3"/>
      <c r="C165" s="3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</row>
    <row r="166" spans="1:215" s="2" customFormat="1" x14ac:dyDescent="0.25">
      <c r="A166" s="3"/>
      <c r="C166" s="3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</row>
    <row r="167" spans="1:215" s="2" customFormat="1" x14ac:dyDescent="0.25">
      <c r="A167" s="3"/>
      <c r="C167" s="3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</row>
    <row r="168" spans="1:215" s="2" customFormat="1" x14ac:dyDescent="0.25">
      <c r="A168" s="3"/>
      <c r="C168" s="3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</row>
    <row r="169" spans="1:215" s="2" customFormat="1" x14ac:dyDescent="0.25">
      <c r="A169" s="3"/>
      <c r="C169" s="3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</row>
    <row r="170" spans="1:215" s="2" customFormat="1" x14ac:dyDescent="0.25">
      <c r="A170" s="3"/>
      <c r="C170" s="3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</row>
    <row r="171" spans="1:215" s="2" customFormat="1" x14ac:dyDescent="0.25">
      <c r="A171" s="3"/>
      <c r="C171" s="3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</row>
    <row r="172" spans="1:215" s="2" customFormat="1" x14ac:dyDescent="0.25">
      <c r="A172" s="3"/>
      <c r="C172" s="3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</row>
    <row r="173" spans="1:215" s="2" customFormat="1" x14ac:dyDescent="0.25">
      <c r="A173" s="3"/>
      <c r="C173" s="3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</row>
    <row r="174" spans="1:215" s="2" customFormat="1" x14ac:dyDescent="0.25">
      <c r="A174" s="3"/>
      <c r="C174" s="3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</row>
    <row r="175" spans="1:215" s="2" customFormat="1" x14ac:dyDescent="0.25">
      <c r="A175" s="3"/>
      <c r="C175" s="3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</row>
    <row r="176" spans="1:215" s="2" customFormat="1" x14ac:dyDescent="0.25">
      <c r="A176" s="3"/>
      <c r="C176" s="3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</row>
    <row r="177" spans="1:215" s="2" customFormat="1" x14ac:dyDescent="0.25">
      <c r="A177" s="3"/>
      <c r="C177" s="3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</row>
    <row r="178" spans="1:215" s="2" customFormat="1" x14ac:dyDescent="0.25">
      <c r="A178" s="3"/>
      <c r="C178" s="3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</row>
    <row r="179" spans="1:215" s="2" customFormat="1" x14ac:dyDescent="0.25">
      <c r="A179" s="3"/>
      <c r="C179" s="3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</row>
    <row r="180" spans="1:215" s="2" customFormat="1" x14ac:dyDescent="0.25">
      <c r="A180" s="3"/>
      <c r="C180" s="3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</row>
    <row r="181" spans="1:215" s="2" customFormat="1" x14ac:dyDescent="0.25">
      <c r="A181" s="3"/>
      <c r="C181" s="3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</row>
    <row r="182" spans="1:215" x14ac:dyDescent="0.25">
      <c r="D182" s="2"/>
      <c r="E182" s="2"/>
    </row>
    <row r="183" spans="1:215" x14ac:dyDescent="0.25">
      <c r="D183" s="2"/>
      <c r="E183" s="2"/>
    </row>
    <row r="184" spans="1:215" x14ac:dyDescent="0.25">
      <c r="D184" s="2"/>
      <c r="E184" s="2"/>
    </row>
    <row r="185" spans="1:215" x14ac:dyDescent="0.25">
      <c r="D185" s="2"/>
      <c r="E185" s="2"/>
    </row>
    <row r="186" spans="1:215" x14ac:dyDescent="0.25">
      <c r="D186" s="2"/>
      <c r="E186" s="2"/>
    </row>
    <row r="187" spans="1:215" x14ac:dyDescent="0.25">
      <c r="D187" s="2"/>
      <c r="E187" s="2"/>
    </row>
    <row r="188" spans="1:215" x14ac:dyDescent="0.25">
      <c r="D188" s="2"/>
      <c r="E188" s="2"/>
    </row>
    <row r="189" spans="1:215" x14ac:dyDescent="0.25">
      <c r="D189" s="2"/>
      <c r="E189" s="2"/>
    </row>
    <row r="190" spans="1:215" x14ac:dyDescent="0.25">
      <c r="D190" s="2"/>
      <c r="E190" s="2"/>
    </row>
    <row r="191" spans="1:215" x14ac:dyDescent="0.25">
      <c r="D191" s="2"/>
      <c r="E191" s="2"/>
    </row>
    <row r="192" spans="1:21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83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D531-7904-42BD-A3AE-051489EC119F}">
  <sheetPr>
    <tabColor rgb="FF00B050"/>
    <pageSetUpPr fitToPage="1"/>
  </sheetPr>
  <dimension ref="A1:HG198"/>
  <sheetViews>
    <sheetView view="pageBreakPreview" zoomScale="85" zoomScaleNormal="100" zoomScaleSheetLayoutView="85"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C90" sqref="C90"/>
    </sheetView>
  </sheetViews>
  <sheetFormatPr defaultRowHeight="15.75" x14ac:dyDescent="0.25"/>
  <cols>
    <col min="1" max="1" width="66.140625" style="3" customWidth="1"/>
    <col min="2" max="2" width="15.140625" style="1" customWidth="1"/>
    <col min="3" max="3" width="15.28515625" style="34" customWidth="1"/>
    <col min="4" max="4" width="11.42578125" style="1" customWidth="1"/>
    <col min="5" max="5" width="15.28515625" style="1" customWidth="1"/>
    <col min="6" max="6" width="11.28515625" style="1" customWidth="1"/>
    <col min="7" max="7" width="14.28515625" style="1" customWidth="1"/>
    <col min="8" max="8" width="10.7109375" style="1" hidden="1" customWidth="1"/>
    <col min="9" max="9" width="14.85546875" style="1" customWidth="1"/>
    <col min="10" max="10" width="10.28515625" style="1" customWidth="1"/>
    <col min="11" max="11" width="16.85546875" style="1" hidden="1" customWidth="1"/>
    <col min="12" max="12" width="11.28515625" style="1" hidden="1" customWidth="1"/>
    <col min="13" max="98" width="9.140625" style="1"/>
    <col min="99" max="99" width="29.140625" style="1" customWidth="1"/>
    <col min="100" max="101" width="9.140625" style="1" customWidth="1"/>
    <col min="102" max="102" width="11.5703125" style="1" customWidth="1"/>
    <col min="103" max="103" width="9.140625" style="1" customWidth="1"/>
    <col min="104" max="104" width="12.140625" style="1" customWidth="1"/>
    <col min="105" max="105" width="11.28515625" style="1" customWidth="1"/>
    <col min="106" max="106" width="12.5703125" style="1" customWidth="1"/>
    <col min="107" max="107" width="9.140625" style="1" customWidth="1"/>
    <col min="108" max="108" width="13.42578125" style="1" customWidth="1"/>
    <col min="109" max="109" width="6.85546875" style="1" customWidth="1"/>
    <col min="110" max="110" width="12.85546875" style="1" customWidth="1"/>
    <col min="111" max="111" width="7.28515625" style="1" customWidth="1"/>
    <col min="112" max="112" width="12.42578125" style="1" customWidth="1"/>
    <col min="113" max="113" width="8.28515625" style="1" customWidth="1"/>
    <col min="114" max="114" width="9.140625" style="1"/>
    <col min="115" max="115" width="10" style="1" bestFit="1" customWidth="1"/>
    <col min="116" max="116" width="9.7109375" style="1" customWidth="1"/>
    <col min="117" max="16384" width="9.140625" style="1"/>
  </cols>
  <sheetData>
    <row r="1" spans="1:12" ht="18.75" customHeight="1" x14ac:dyDescent="0.25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28"/>
      <c r="L1" s="28"/>
    </row>
    <row r="2" spans="1:12" ht="36.75" customHeight="1" x14ac:dyDescent="0.25">
      <c r="A2" s="77" t="s">
        <v>95</v>
      </c>
      <c r="B2" s="77"/>
      <c r="C2" s="77"/>
      <c r="D2" s="77"/>
      <c r="E2" s="77"/>
      <c r="F2" s="77"/>
      <c r="G2" s="77"/>
      <c r="H2" s="77"/>
      <c r="I2" s="77"/>
      <c r="J2" s="77"/>
      <c r="K2" s="28"/>
      <c r="L2" s="28"/>
    </row>
    <row r="3" spans="1:12" x14ac:dyDescent="0.25">
      <c r="A3" s="27"/>
      <c r="B3" s="24"/>
      <c r="C3" s="24"/>
      <c r="D3" s="24"/>
      <c r="E3" s="24"/>
      <c r="F3" s="24"/>
      <c r="H3" s="26"/>
      <c r="I3" s="26" t="s">
        <v>54</v>
      </c>
      <c r="J3" s="26"/>
    </row>
    <row r="4" spans="1:12" s="24" customFormat="1" ht="47.25" x14ac:dyDescent="0.2">
      <c r="A4" s="25" t="s">
        <v>53</v>
      </c>
      <c r="B4" s="25" t="s">
        <v>91</v>
      </c>
      <c r="C4" s="25" t="s">
        <v>92</v>
      </c>
      <c r="D4" s="25" t="s">
        <v>64</v>
      </c>
      <c r="E4" s="25" t="s">
        <v>66</v>
      </c>
      <c r="F4" s="25" t="s">
        <v>67</v>
      </c>
      <c r="G4" s="25" t="s">
        <v>87</v>
      </c>
      <c r="H4" s="25" t="s">
        <v>88</v>
      </c>
      <c r="I4" s="25" t="s">
        <v>93</v>
      </c>
      <c r="J4" s="25" t="s">
        <v>94</v>
      </c>
    </row>
    <row r="5" spans="1:12" x14ac:dyDescent="0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</row>
    <row r="6" spans="1:12" x14ac:dyDescent="0.25">
      <c r="A6" s="9" t="s">
        <v>52</v>
      </c>
      <c r="B6" s="20"/>
      <c r="C6" s="20"/>
      <c r="D6" s="31"/>
      <c r="E6" s="20"/>
      <c r="F6" s="31"/>
      <c r="G6" s="20"/>
      <c r="H6" s="31"/>
      <c r="I6" s="20"/>
      <c r="J6" s="31"/>
    </row>
    <row r="7" spans="1:12" s="22" customFormat="1" x14ac:dyDescent="0.25">
      <c r="A7" s="12" t="s">
        <v>51</v>
      </c>
      <c r="B7" s="59">
        <f>B8+B11+B14+B19+B23</f>
        <v>37301.182029999989</v>
      </c>
      <c r="C7" s="50">
        <f>C8+C11+C14+C19+C23</f>
        <v>41416</v>
      </c>
      <c r="D7" s="49">
        <f>C7/B7%</f>
        <v>111.03133398477992</v>
      </c>
      <c r="E7" s="50">
        <f>E8+E11+E14+E19+E23</f>
        <v>47247</v>
      </c>
      <c r="F7" s="49">
        <f>E7/C7%</f>
        <v>114.07909986478654</v>
      </c>
      <c r="G7" s="50">
        <f>G8+G11+G14+G19+G23</f>
        <v>53577</v>
      </c>
      <c r="H7" s="49">
        <f>G7/E7%</f>
        <v>113.39767604292335</v>
      </c>
      <c r="I7" s="50">
        <f>I8+I11+I14+I19+I23</f>
        <v>65158</v>
      </c>
      <c r="J7" s="49">
        <f>I7/G7%</f>
        <v>121.61561864232787</v>
      </c>
    </row>
    <row r="8" spans="1:12" s="22" customFormat="1" x14ac:dyDescent="0.25">
      <c r="A8" s="12" t="s">
        <v>50</v>
      </c>
      <c r="B8" s="59">
        <f>SUM(B9:B10)</f>
        <v>25275.945029999999</v>
      </c>
      <c r="C8" s="50">
        <f>SUM(C9:C10)</f>
        <v>28370</v>
      </c>
      <c r="D8" s="49">
        <f t="shared" ref="D8" si="0">C8/B8%</f>
        <v>112.24110499657944</v>
      </c>
      <c r="E8" s="50">
        <f>E9+E10</f>
        <v>33578</v>
      </c>
      <c r="F8" s="49">
        <f t="shared" ref="F8:J8" si="1">E8/C8%</f>
        <v>118.3574198096581</v>
      </c>
      <c r="G8" s="50">
        <f>SUM(G9:G10)</f>
        <v>39599</v>
      </c>
      <c r="H8" s="49">
        <f t="shared" si="1"/>
        <v>117.93138364405266</v>
      </c>
      <c r="I8" s="50">
        <f>SUM(I9:I10)</f>
        <v>46885</v>
      </c>
      <c r="J8" s="49">
        <f t="shared" si="1"/>
        <v>118.39945453168009</v>
      </c>
    </row>
    <row r="9" spans="1:12" s="22" customFormat="1" hidden="1" x14ac:dyDescent="0.25">
      <c r="A9" s="10" t="s">
        <v>49</v>
      </c>
      <c r="B9" s="60"/>
      <c r="C9" s="32"/>
      <c r="D9" s="38"/>
      <c r="E9" s="32"/>
      <c r="F9" s="38"/>
      <c r="G9" s="32"/>
      <c r="H9" s="38"/>
      <c r="I9" s="32"/>
      <c r="J9" s="38"/>
    </row>
    <row r="10" spans="1:12" s="22" customFormat="1" x14ac:dyDescent="0.25">
      <c r="A10" s="10" t="s">
        <v>48</v>
      </c>
      <c r="B10" s="60">
        <v>25275.945029999999</v>
      </c>
      <c r="C10" s="32">
        <v>28370</v>
      </c>
      <c r="D10" s="38">
        <f t="shared" ref="D10:D33" si="2">C10/B10%</f>
        <v>112.24110499657944</v>
      </c>
      <c r="E10" s="32">
        <v>33578</v>
      </c>
      <c r="F10" s="38">
        <f>E10/C10%</f>
        <v>118.3574198096581</v>
      </c>
      <c r="G10" s="32">
        <v>39599</v>
      </c>
      <c r="H10" s="58">
        <v>30283</v>
      </c>
      <c r="I10" s="32">
        <v>46885</v>
      </c>
      <c r="J10" s="38">
        <f>I10/G10%</f>
        <v>118.39945453168009</v>
      </c>
    </row>
    <row r="11" spans="1:12" s="22" customFormat="1" ht="31.5" x14ac:dyDescent="0.25">
      <c r="A11" s="12" t="s">
        <v>47</v>
      </c>
      <c r="B11" s="59">
        <f>SUM(B12:B13)</f>
        <v>10235.800999999999</v>
      </c>
      <c r="C11" s="50">
        <f>SUM(C12:C13)</f>
        <v>10645</v>
      </c>
      <c r="D11" s="49">
        <f t="shared" si="2"/>
        <v>103.99772328516352</v>
      </c>
      <c r="E11" s="50">
        <f>SUM(E12:E13)</f>
        <v>11643</v>
      </c>
      <c r="F11" s="49">
        <f>E11/C11%</f>
        <v>109.37529356505401</v>
      </c>
      <c r="G11" s="50">
        <f>SUM(G12:G13)</f>
        <v>11795</v>
      </c>
      <c r="H11" s="49">
        <f>G11/E11%</f>
        <v>101.3055054539208</v>
      </c>
      <c r="I11" s="50">
        <f>SUM(I12:I13)</f>
        <v>15898</v>
      </c>
      <c r="J11" s="49">
        <f>I11/G11%</f>
        <v>134.78592623993217</v>
      </c>
    </row>
    <row r="12" spans="1:12" s="22" customFormat="1" x14ac:dyDescent="0.25">
      <c r="A12" s="10" t="s">
        <v>46</v>
      </c>
      <c r="B12" s="60">
        <v>10235.800999999999</v>
      </c>
      <c r="C12" s="32">
        <v>10645</v>
      </c>
      <c r="D12" s="38">
        <f>C12/B12%</f>
        <v>103.99772328516352</v>
      </c>
      <c r="E12" s="32">
        <v>11643</v>
      </c>
      <c r="F12" s="38">
        <f>E12/C12%</f>
        <v>109.37529356505401</v>
      </c>
      <c r="G12" s="32">
        <v>11795</v>
      </c>
      <c r="H12" s="38">
        <f>G12/E12%</f>
        <v>101.3055054539208</v>
      </c>
      <c r="I12" s="32">
        <v>15898</v>
      </c>
      <c r="J12" s="38">
        <f>I12/G12%</f>
        <v>134.78592623993217</v>
      </c>
    </row>
    <row r="13" spans="1:12" s="22" customFormat="1" hidden="1" x14ac:dyDescent="0.25">
      <c r="A13" s="10" t="s">
        <v>45</v>
      </c>
      <c r="B13" s="60"/>
      <c r="C13" s="32"/>
      <c r="D13" s="38"/>
      <c r="E13" s="32"/>
      <c r="F13" s="38"/>
      <c r="G13" s="32"/>
      <c r="H13" s="38"/>
      <c r="I13" s="32"/>
      <c r="J13" s="38"/>
    </row>
    <row r="14" spans="1:12" s="22" customFormat="1" x14ac:dyDescent="0.25">
      <c r="A14" s="12" t="s">
        <v>44</v>
      </c>
      <c r="B14" s="59">
        <f>SUM(B15:B18)</f>
        <v>1341.8440000000001</v>
      </c>
      <c r="C14" s="50">
        <f>SUM(C15:C18)</f>
        <v>1717</v>
      </c>
      <c r="D14" s="49">
        <f t="shared" si="2"/>
        <v>127.95824253788071</v>
      </c>
      <c r="E14" s="50">
        <f>SUM(E15:E18)</f>
        <v>1048</v>
      </c>
      <c r="F14" s="49">
        <f>E14/C14%</f>
        <v>61.036691904484563</v>
      </c>
      <c r="G14" s="50">
        <f>SUM(G15:G18)</f>
        <v>1126</v>
      </c>
      <c r="H14" s="49">
        <f>SUM(H15:H18)</f>
        <v>332.89879521459801</v>
      </c>
      <c r="I14" s="50">
        <f>SUM(I15:I18)</f>
        <v>1226</v>
      </c>
      <c r="J14" s="49">
        <f>SUM(J15:J18)</f>
        <v>324.51279370784016</v>
      </c>
    </row>
    <row r="15" spans="1:12" s="22" customFormat="1" ht="22.5" customHeight="1" x14ac:dyDescent="0.25">
      <c r="A15" s="10" t="s">
        <v>42</v>
      </c>
      <c r="B15" s="60">
        <v>3.6190000000000002</v>
      </c>
      <c r="C15" s="32">
        <v>0</v>
      </c>
      <c r="D15" s="38">
        <f t="shared" si="2"/>
        <v>0</v>
      </c>
      <c r="E15" s="32"/>
      <c r="F15" s="38">
        <v>0</v>
      </c>
      <c r="G15" s="32"/>
      <c r="H15" s="38">
        <v>0</v>
      </c>
      <c r="I15" s="32"/>
      <c r="J15" s="38"/>
    </row>
    <row r="16" spans="1:12" s="22" customFormat="1" x14ac:dyDescent="0.25">
      <c r="A16" s="10" t="s">
        <v>41</v>
      </c>
      <c r="B16" s="60">
        <v>7.9889999999999999</v>
      </c>
      <c r="C16" s="32">
        <v>11</v>
      </c>
      <c r="D16" s="38">
        <f t="shared" si="2"/>
        <v>137.68932281887595</v>
      </c>
      <c r="E16" s="32">
        <v>12</v>
      </c>
      <c r="F16" s="38">
        <f>E16/C16%</f>
        <v>109.09090909090909</v>
      </c>
      <c r="G16" s="32">
        <v>14</v>
      </c>
      <c r="H16" s="38">
        <f>G16/E16%</f>
        <v>116.66666666666667</v>
      </c>
      <c r="I16" s="32">
        <v>15</v>
      </c>
      <c r="J16" s="38">
        <f>I16/G16%</f>
        <v>107.14285714285714</v>
      </c>
    </row>
    <row r="17" spans="1:10" s="22" customFormat="1" ht="24.75" customHeight="1" x14ac:dyDescent="0.25">
      <c r="A17" s="10" t="s">
        <v>40</v>
      </c>
      <c r="B17" s="60">
        <v>7.1020000000000003</v>
      </c>
      <c r="C17" s="32">
        <v>80</v>
      </c>
      <c r="D17" s="38">
        <f>C17/B17%</f>
        <v>1126.4432554210082</v>
      </c>
      <c r="E17" s="32">
        <v>131</v>
      </c>
      <c r="F17" s="38">
        <f>E17/C17%</f>
        <v>163.75</v>
      </c>
      <c r="G17" s="32">
        <v>143</v>
      </c>
      <c r="H17" s="38">
        <f>G17/E17%</f>
        <v>109.16030534351144</v>
      </c>
      <c r="I17" s="32">
        <v>155</v>
      </c>
      <c r="J17" s="38">
        <f>I17/G17%</f>
        <v>108.3916083916084</v>
      </c>
    </row>
    <row r="18" spans="1:10" s="22" customFormat="1" ht="20.25" customHeight="1" x14ac:dyDescent="0.25">
      <c r="A18" s="10" t="s">
        <v>43</v>
      </c>
      <c r="B18" s="60">
        <v>1323.134</v>
      </c>
      <c r="C18" s="32">
        <v>1626</v>
      </c>
      <c r="D18" s="38">
        <v>0</v>
      </c>
      <c r="E18" s="32">
        <v>905</v>
      </c>
      <c r="F18" s="38">
        <f>E18/C18%</f>
        <v>55.658056580565798</v>
      </c>
      <c r="G18" s="32">
        <v>969</v>
      </c>
      <c r="H18" s="38">
        <f>G18/E18%</f>
        <v>107.07182320441989</v>
      </c>
      <c r="I18" s="32">
        <v>1056</v>
      </c>
      <c r="J18" s="38">
        <f>I18/G18%</f>
        <v>108.97832817337462</v>
      </c>
    </row>
    <row r="19" spans="1:10" s="22" customFormat="1" x14ac:dyDescent="0.25">
      <c r="A19" s="12" t="s">
        <v>39</v>
      </c>
      <c r="B19" s="59">
        <f>SUM(B20:B22)</f>
        <v>149.547</v>
      </c>
      <c r="C19" s="50">
        <f>SUM(C20:C22)</f>
        <v>347</v>
      </c>
      <c r="D19" s="38">
        <f t="shared" si="2"/>
        <v>232.03407624358897</v>
      </c>
      <c r="E19" s="50">
        <f>SUM(E20:E22)</f>
        <v>571</v>
      </c>
      <c r="F19" s="38">
        <f>E19/C19%</f>
        <v>164.55331412103746</v>
      </c>
      <c r="G19" s="50">
        <f>SUM(G20:G22)</f>
        <v>597</v>
      </c>
      <c r="H19" s="38">
        <f>G19/E19%</f>
        <v>104.55341506129598</v>
      </c>
      <c r="I19" s="50">
        <f>SUM(I20:I22)</f>
        <v>627</v>
      </c>
      <c r="J19" s="38">
        <f>I19/G19%</f>
        <v>105.02512562814071</v>
      </c>
    </row>
    <row r="20" spans="1:10" s="22" customFormat="1" x14ac:dyDescent="0.25">
      <c r="A20" s="10" t="s">
        <v>38</v>
      </c>
      <c r="B20" s="60"/>
      <c r="C20" s="32"/>
      <c r="D20" s="38"/>
      <c r="E20" s="32"/>
      <c r="F20" s="38"/>
      <c r="G20" s="32"/>
      <c r="H20" s="38"/>
      <c r="I20" s="32"/>
      <c r="J20" s="38"/>
    </row>
    <row r="21" spans="1:10" s="22" customFormat="1" x14ac:dyDescent="0.25">
      <c r="A21" s="10" t="s">
        <v>37</v>
      </c>
      <c r="B21" s="60">
        <v>149.547</v>
      </c>
      <c r="C21" s="32">
        <v>347</v>
      </c>
      <c r="D21" s="38">
        <f t="shared" si="2"/>
        <v>232.03407624358897</v>
      </c>
      <c r="E21" s="32">
        <v>571</v>
      </c>
      <c r="F21" s="38">
        <f>E21/C21%</f>
        <v>164.55331412103746</v>
      </c>
      <c r="G21" s="32">
        <v>597</v>
      </c>
      <c r="H21" s="38">
        <f>G21/E21%</f>
        <v>104.55341506129598</v>
      </c>
      <c r="I21" s="32">
        <v>627</v>
      </c>
      <c r="J21" s="38">
        <f t="shared" ref="J21:J31" si="3">I21/G21%</f>
        <v>105.02512562814071</v>
      </c>
    </row>
    <row r="22" spans="1:10" s="22" customFormat="1" x14ac:dyDescent="0.25">
      <c r="A22" s="10" t="s">
        <v>36</v>
      </c>
      <c r="B22" s="60"/>
      <c r="C22" s="32"/>
      <c r="D22" s="38"/>
      <c r="E22" s="32"/>
      <c r="F22" s="38"/>
      <c r="G22" s="32"/>
      <c r="H22" s="38"/>
      <c r="I22" s="32"/>
      <c r="J22" s="38" t="e">
        <f t="shared" si="3"/>
        <v>#DIV/0!</v>
      </c>
    </row>
    <row r="23" spans="1:10" s="22" customFormat="1" x14ac:dyDescent="0.25">
      <c r="A23" s="12" t="s">
        <v>35</v>
      </c>
      <c r="B23" s="59">
        <v>298.04500000000002</v>
      </c>
      <c r="C23" s="50">
        <v>337</v>
      </c>
      <c r="D23" s="49">
        <f t="shared" si="2"/>
        <v>113.07017396701839</v>
      </c>
      <c r="E23" s="50">
        <v>407</v>
      </c>
      <c r="F23" s="49">
        <f t="shared" ref="F23:F31" si="4">E23/C23%</f>
        <v>120.77151335311572</v>
      </c>
      <c r="G23" s="50">
        <v>460</v>
      </c>
      <c r="H23" s="49">
        <f t="shared" ref="H23:H31" si="5">G23/E23%</f>
        <v>113.02211302211302</v>
      </c>
      <c r="I23" s="50">
        <v>522</v>
      </c>
      <c r="J23" s="49">
        <f t="shared" si="3"/>
        <v>113.47826086956523</v>
      </c>
    </row>
    <row r="24" spans="1:10" s="22" customFormat="1" x14ac:dyDescent="0.25">
      <c r="A24" s="12" t="s">
        <v>34</v>
      </c>
      <c r="B24" s="59">
        <f>B25+B27+B28+B30+B31+B32</f>
        <v>454.41300000000001</v>
      </c>
      <c r="C24" s="50">
        <f>C25+C27+C28+C30+C31+C32</f>
        <v>2014</v>
      </c>
      <c r="D24" s="49">
        <f t="shared" si="2"/>
        <v>443.20915114664416</v>
      </c>
      <c r="E24" s="50">
        <f>E25+E27+E28+E30+E31+E32</f>
        <v>294</v>
      </c>
      <c r="F24" s="49">
        <f t="shared" si="4"/>
        <v>14.597815292949354</v>
      </c>
      <c r="G24" s="50">
        <f>G25+G27+G28+G30+G31+G32</f>
        <v>336</v>
      </c>
      <c r="H24" s="49">
        <f t="shared" si="5"/>
        <v>114.28571428571429</v>
      </c>
      <c r="I24" s="50">
        <f>I25+I27+I28+I30+I31+I32</f>
        <v>348</v>
      </c>
      <c r="J24" s="49">
        <f t="shared" si="3"/>
        <v>103.57142857142857</v>
      </c>
    </row>
    <row r="25" spans="1:10" s="15" customFormat="1" x14ac:dyDescent="0.2">
      <c r="A25" s="12" t="s">
        <v>32</v>
      </c>
      <c r="B25" s="59">
        <f>SUM(B26:B26)</f>
        <v>24.538</v>
      </c>
      <c r="C25" s="50">
        <f>SUM(C26:C26)</f>
        <v>95</v>
      </c>
      <c r="D25" s="49">
        <f t="shared" si="2"/>
        <v>387.15461732822558</v>
      </c>
      <c r="E25" s="50">
        <f>SUM(E26:E26)</f>
        <v>100</v>
      </c>
      <c r="F25" s="49">
        <f t="shared" si="4"/>
        <v>105.26315789473685</v>
      </c>
      <c r="G25" s="50">
        <f>SUM(G26:G26)</f>
        <v>105</v>
      </c>
      <c r="H25" s="49">
        <f t="shared" si="5"/>
        <v>105</v>
      </c>
      <c r="I25" s="50">
        <f>SUM(I26:I26)</f>
        <v>110</v>
      </c>
      <c r="J25" s="49">
        <f t="shared" si="3"/>
        <v>104.76190476190476</v>
      </c>
    </row>
    <row r="26" spans="1:10" s="15" customFormat="1" x14ac:dyDescent="0.2">
      <c r="A26" s="10" t="s">
        <v>31</v>
      </c>
      <c r="B26" s="60">
        <v>24.538</v>
      </c>
      <c r="C26" s="32">
        <v>95</v>
      </c>
      <c r="D26" s="38">
        <f>C26/B26%</f>
        <v>387.15461732822558</v>
      </c>
      <c r="E26" s="32">
        <v>100</v>
      </c>
      <c r="F26" s="38">
        <f t="shared" si="4"/>
        <v>105.26315789473685</v>
      </c>
      <c r="G26" s="32">
        <v>105</v>
      </c>
      <c r="H26" s="38">
        <f t="shared" si="5"/>
        <v>105</v>
      </c>
      <c r="I26" s="32">
        <v>110</v>
      </c>
      <c r="J26" s="38">
        <f t="shared" si="3"/>
        <v>104.76190476190476</v>
      </c>
    </row>
    <row r="27" spans="1:10" s="15" customFormat="1" ht="31.5" x14ac:dyDescent="0.2">
      <c r="A27" s="12" t="s">
        <v>30</v>
      </c>
      <c r="B27" s="59"/>
      <c r="C27" s="50">
        <v>2</v>
      </c>
      <c r="D27" s="49"/>
      <c r="E27" s="50">
        <v>2</v>
      </c>
      <c r="F27" s="49">
        <f t="shared" si="4"/>
        <v>100</v>
      </c>
      <c r="G27" s="50">
        <v>2</v>
      </c>
      <c r="H27" s="49">
        <f t="shared" si="5"/>
        <v>100</v>
      </c>
      <c r="I27" s="50">
        <v>2</v>
      </c>
      <c r="J27" s="49">
        <f t="shared" si="3"/>
        <v>100</v>
      </c>
    </row>
    <row r="28" spans="1:10" s="15" customFormat="1" x14ac:dyDescent="0.2">
      <c r="A28" s="12" t="s">
        <v>33</v>
      </c>
      <c r="B28" s="59">
        <f>B29</f>
        <v>61.893000000000001</v>
      </c>
      <c r="C28" s="50">
        <f>C29</f>
        <v>123</v>
      </c>
      <c r="D28" s="38">
        <f t="shared" si="2"/>
        <v>198.73006640492463</v>
      </c>
      <c r="E28" s="50">
        <f>E29</f>
        <v>130</v>
      </c>
      <c r="F28" s="38">
        <f t="shared" si="4"/>
        <v>105.6910569105691</v>
      </c>
      <c r="G28" s="50">
        <f>G29</f>
        <v>135</v>
      </c>
      <c r="H28" s="38">
        <f t="shared" si="5"/>
        <v>103.84615384615384</v>
      </c>
      <c r="I28" s="50">
        <f>I29</f>
        <v>140</v>
      </c>
      <c r="J28" s="38">
        <f t="shared" si="3"/>
        <v>103.7037037037037</v>
      </c>
    </row>
    <row r="29" spans="1:10" s="15" customFormat="1" x14ac:dyDescent="0.25">
      <c r="A29" s="21" t="s">
        <v>60</v>
      </c>
      <c r="B29" s="60">
        <v>61.893000000000001</v>
      </c>
      <c r="C29" s="32">
        <v>123</v>
      </c>
      <c r="D29" s="38">
        <f t="shared" si="2"/>
        <v>198.73006640492463</v>
      </c>
      <c r="E29" s="32">
        <v>130</v>
      </c>
      <c r="F29" s="38">
        <f t="shared" si="4"/>
        <v>105.6910569105691</v>
      </c>
      <c r="G29" s="32">
        <v>135</v>
      </c>
      <c r="H29" s="38">
        <f t="shared" si="5"/>
        <v>103.84615384615384</v>
      </c>
      <c r="I29" s="32">
        <v>140</v>
      </c>
      <c r="J29" s="38">
        <f t="shared" si="3"/>
        <v>103.7037037037037</v>
      </c>
    </row>
    <row r="30" spans="1:10" s="15" customFormat="1" ht="31.5" x14ac:dyDescent="0.2">
      <c r="A30" s="12" t="s">
        <v>29</v>
      </c>
      <c r="B30" s="59">
        <v>117.78700000000001</v>
      </c>
      <c r="C30" s="50">
        <v>92</v>
      </c>
      <c r="D30" s="49">
        <f t="shared" si="2"/>
        <v>78.107091614524521</v>
      </c>
      <c r="E30" s="50">
        <v>42</v>
      </c>
      <c r="F30" s="49">
        <f t="shared" si="4"/>
        <v>45.652173913043477</v>
      </c>
      <c r="G30" s="50">
        <v>44</v>
      </c>
      <c r="H30" s="49">
        <f t="shared" si="5"/>
        <v>104.76190476190476</v>
      </c>
      <c r="I30" s="50">
        <v>46</v>
      </c>
      <c r="J30" s="49">
        <f t="shared" si="3"/>
        <v>104.54545454545455</v>
      </c>
    </row>
    <row r="31" spans="1:10" s="15" customFormat="1" x14ac:dyDescent="0.2">
      <c r="A31" s="12" t="s">
        <v>28</v>
      </c>
      <c r="B31" s="59">
        <v>182.935</v>
      </c>
      <c r="C31" s="50">
        <v>81</v>
      </c>
      <c r="D31" s="49">
        <f t="shared" si="2"/>
        <v>44.278022248339575</v>
      </c>
      <c r="E31" s="50">
        <v>20</v>
      </c>
      <c r="F31" s="49">
        <f t="shared" si="4"/>
        <v>24.691358024691358</v>
      </c>
      <c r="G31" s="50">
        <v>50</v>
      </c>
      <c r="H31" s="49">
        <f t="shared" si="5"/>
        <v>250</v>
      </c>
      <c r="I31" s="50">
        <v>50</v>
      </c>
      <c r="J31" s="49">
        <f t="shared" si="3"/>
        <v>100</v>
      </c>
    </row>
    <row r="32" spans="1:10" s="15" customFormat="1" x14ac:dyDescent="0.2">
      <c r="A32" s="12" t="s">
        <v>27</v>
      </c>
      <c r="B32" s="59">
        <v>67.260000000000005</v>
      </c>
      <c r="C32" s="50">
        <v>1621</v>
      </c>
      <c r="D32" s="49">
        <f t="shared" si="2"/>
        <v>2410.0505501040734</v>
      </c>
      <c r="E32" s="50"/>
      <c r="F32" s="49"/>
      <c r="G32" s="50"/>
      <c r="H32" s="49"/>
      <c r="I32" s="50"/>
      <c r="J32" s="49"/>
    </row>
    <row r="33" spans="1:10" s="15" customFormat="1" x14ac:dyDescent="0.2">
      <c r="A33" s="12" t="s">
        <v>26</v>
      </c>
      <c r="B33" s="59">
        <f>B7+B24</f>
        <v>37755.595029999989</v>
      </c>
      <c r="C33" s="50">
        <f>C7+C24</f>
        <v>43430</v>
      </c>
      <c r="D33" s="49">
        <f t="shared" si="2"/>
        <v>115.02930880970415</v>
      </c>
      <c r="E33" s="50">
        <f>E7+E24</f>
        <v>47541</v>
      </c>
      <c r="F33" s="49">
        <f>E33/C33%</f>
        <v>109.46580704582085</v>
      </c>
      <c r="G33" s="50">
        <f>G7+G24</f>
        <v>53913</v>
      </c>
      <c r="H33" s="49">
        <f>G33/E33%</f>
        <v>113.4031677920111</v>
      </c>
      <c r="I33" s="50">
        <f>I7+I24</f>
        <v>65506</v>
      </c>
      <c r="J33" s="49">
        <f>I33/G33%</f>
        <v>121.50316250255041</v>
      </c>
    </row>
    <row r="34" spans="1:10" s="15" customFormat="1" x14ac:dyDescent="0.2">
      <c r="A34" s="12" t="s">
        <v>63</v>
      </c>
      <c r="B34" s="61">
        <v>7425.6589999999997</v>
      </c>
      <c r="C34" s="62">
        <v>10764.08173</v>
      </c>
      <c r="D34" s="49"/>
      <c r="E34" s="50"/>
      <c r="F34" s="49"/>
      <c r="G34" s="50">
        <v>0</v>
      </c>
      <c r="H34" s="49"/>
      <c r="I34" s="50">
        <v>0</v>
      </c>
      <c r="J34" s="49"/>
    </row>
    <row r="35" spans="1:10" s="15" customFormat="1" ht="31.5" x14ac:dyDescent="0.2">
      <c r="A35" s="12" t="s">
        <v>25</v>
      </c>
      <c r="B35" s="60"/>
      <c r="C35" s="32"/>
      <c r="D35" s="38"/>
      <c r="E35" s="32"/>
      <c r="F35" s="38"/>
      <c r="G35" s="32"/>
      <c r="H35" s="38"/>
      <c r="I35" s="32"/>
      <c r="J35" s="38"/>
    </row>
    <row r="36" spans="1:10" s="15" customFormat="1" ht="31.5" x14ac:dyDescent="0.2">
      <c r="A36" s="12" t="s">
        <v>24</v>
      </c>
      <c r="B36" s="60"/>
      <c r="C36" s="32"/>
      <c r="D36" s="38"/>
      <c r="E36" s="32"/>
      <c r="F36" s="38"/>
      <c r="G36" s="32"/>
      <c r="H36" s="38"/>
      <c r="I36" s="32"/>
      <c r="J36" s="38"/>
    </row>
    <row r="37" spans="1:10" s="15" customFormat="1" x14ac:dyDescent="0.2">
      <c r="A37" s="14" t="s">
        <v>23</v>
      </c>
      <c r="B37" s="48">
        <f>B38+B36</f>
        <v>192852.959</v>
      </c>
      <c r="C37" s="37">
        <f>C38</f>
        <v>199645.67200000002</v>
      </c>
      <c r="D37" s="38">
        <f t="shared" ref="D37:D91" si="6">C37/B37%</f>
        <v>103.52222389286753</v>
      </c>
      <c r="E37" s="37">
        <f>E38</f>
        <v>215097.08600000001</v>
      </c>
      <c r="F37" s="38">
        <f>E37/C37%</f>
        <v>107.73941846332636</v>
      </c>
      <c r="G37" s="37">
        <f>G38</f>
        <v>117747.57400000001</v>
      </c>
      <c r="H37" s="38">
        <f>G37/E37%</f>
        <v>54.74159422131828</v>
      </c>
      <c r="I37" s="37">
        <f>I38</f>
        <v>130663.875</v>
      </c>
      <c r="J37" s="38">
        <f>I37/G37%</f>
        <v>110.96948375344022</v>
      </c>
    </row>
    <row r="38" spans="1:10" s="15" customFormat="1" ht="31.5" x14ac:dyDescent="0.2">
      <c r="A38" s="16" t="s">
        <v>22</v>
      </c>
      <c r="B38" s="48">
        <f>B40+B43+B55+B66</f>
        <v>192852.959</v>
      </c>
      <c r="C38" s="37">
        <f>C40+C43+C55+C66</f>
        <v>199645.67200000002</v>
      </c>
      <c r="D38" s="38">
        <f t="shared" si="6"/>
        <v>103.52222389286753</v>
      </c>
      <c r="E38" s="37">
        <f>E40+E43+E55+E66</f>
        <v>215097.08600000001</v>
      </c>
      <c r="F38" s="38">
        <f>E38/C38%</f>
        <v>107.73941846332636</v>
      </c>
      <c r="G38" s="37">
        <f>G40+G43+G55+G66</f>
        <v>117747.57400000001</v>
      </c>
      <c r="H38" s="38">
        <f>G38/E38%</f>
        <v>54.74159422131828</v>
      </c>
      <c r="I38" s="37">
        <f>I40+I43+I55+I66</f>
        <v>130663.875</v>
      </c>
      <c r="J38" s="38">
        <f>I38/G38%</f>
        <v>110.96948375344022</v>
      </c>
    </row>
    <row r="39" spans="1:10" s="15" customFormat="1" x14ac:dyDescent="0.2">
      <c r="A39" s="16" t="s">
        <v>21</v>
      </c>
      <c r="B39" s="46"/>
      <c r="C39" s="40"/>
      <c r="D39" s="38"/>
      <c r="E39" s="40"/>
      <c r="F39" s="38"/>
      <c r="G39" s="40"/>
      <c r="H39" s="38"/>
      <c r="I39" s="40"/>
      <c r="J39" s="38"/>
    </row>
    <row r="40" spans="1:10" s="19" customFormat="1" x14ac:dyDescent="0.2">
      <c r="A40" s="18" t="s">
        <v>20</v>
      </c>
      <c r="B40" s="63">
        <f>SUM(B41:B42)</f>
        <v>44484</v>
      </c>
      <c r="C40" s="64">
        <f>SUM(C41:C42)</f>
        <v>45340</v>
      </c>
      <c r="D40" s="49">
        <f t="shared" si="6"/>
        <v>101.92428738422804</v>
      </c>
      <c r="E40" s="64">
        <f>SUM(E41:E42)</f>
        <v>52542</v>
      </c>
      <c r="F40" s="49">
        <f>E40/C40%</f>
        <v>115.88442876047641</v>
      </c>
      <c r="G40" s="64">
        <f>SUM(G41:G42)</f>
        <v>28874</v>
      </c>
      <c r="H40" s="49">
        <f>G40/E40%</f>
        <v>54.954131932549203</v>
      </c>
      <c r="I40" s="64">
        <f>SUM(I41:I42)</f>
        <v>21316.7</v>
      </c>
      <c r="J40" s="49">
        <f>I40/G40%</f>
        <v>73.826626030338716</v>
      </c>
    </row>
    <row r="41" spans="1:10" s="15" customFormat="1" ht="22.5" customHeight="1" x14ac:dyDescent="0.2">
      <c r="A41" s="16" t="s">
        <v>19</v>
      </c>
      <c r="B41" s="46">
        <v>30773</v>
      </c>
      <c r="C41" s="40">
        <v>33102</v>
      </c>
      <c r="D41" s="38">
        <f t="shared" si="6"/>
        <v>107.56832288044714</v>
      </c>
      <c r="E41" s="40">
        <v>48665</v>
      </c>
      <c r="F41" s="38">
        <f>E41/C41%</f>
        <v>147.0152860854329</v>
      </c>
      <c r="G41" s="40">
        <v>25191</v>
      </c>
      <c r="H41" s="38">
        <f>G41/E41%</f>
        <v>51.764101510325702</v>
      </c>
      <c r="I41" s="40">
        <v>17633.7</v>
      </c>
      <c r="J41" s="38">
        <f>I41/G41%</f>
        <v>70</v>
      </c>
    </row>
    <row r="42" spans="1:10" s="15" customFormat="1" ht="20.25" customHeight="1" x14ac:dyDescent="0.2">
      <c r="A42" s="16" t="s">
        <v>18</v>
      </c>
      <c r="B42" s="46">
        <v>13711</v>
      </c>
      <c r="C42" s="40">
        <v>12238</v>
      </c>
      <c r="D42" s="38">
        <f t="shared" si="6"/>
        <v>89.256801108598921</v>
      </c>
      <c r="E42" s="40">
        <v>3877</v>
      </c>
      <c r="F42" s="38">
        <f>E42/C42%</f>
        <v>31.680013074031706</v>
      </c>
      <c r="G42" s="65">
        <v>3683</v>
      </c>
      <c r="H42" s="38">
        <f>G42/E42%</f>
        <v>94.996131029146241</v>
      </c>
      <c r="I42" s="65">
        <v>3683</v>
      </c>
      <c r="J42" s="38">
        <f>I42/G42%</f>
        <v>100</v>
      </c>
    </row>
    <row r="43" spans="1:10" s="19" customFormat="1" ht="31.5" x14ac:dyDescent="0.2">
      <c r="A43" s="16" t="s">
        <v>56</v>
      </c>
      <c r="B43" s="48">
        <f>SUM(B44:B49)</f>
        <v>16446.730000000003</v>
      </c>
      <c r="C43" s="37">
        <f>SUM(C44:C49)</f>
        <v>20598.061000000002</v>
      </c>
      <c r="D43" s="45">
        <f t="shared" si="6"/>
        <v>125.24107223745996</v>
      </c>
      <c r="E43" s="37">
        <f>SUM(E44:E54)</f>
        <v>18848.842000000001</v>
      </c>
      <c r="F43" s="45">
        <f>E43/C43%</f>
        <v>91.507846296794625</v>
      </c>
      <c r="G43" s="37">
        <f>SUM(G44:G54)</f>
        <v>13390.315000000001</v>
      </c>
      <c r="H43" s="37">
        <f>SUM(H44:H54)</f>
        <v>0</v>
      </c>
      <c r="I43" s="37">
        <f>SUM(I44:I54)</f>
        <v>13352.323</v>
      </c>
      <c r="J43" s="45">
        <f>I43/G43%</f>
        <v>99.716272544745948</v>
      </c>
    </row>
    <row r="44" spans="1:10" s="19" customFormat="1" ht="57.75" customHeight="1" x14ac:dyDescent="0.2">
      <c r="A44" s="10" t="s">
        <v>85</v>
      </c>
      <c r="B44" s="36">
        <v>128</v>
      </c>
      <c r="C44" s="37">
        <v>316.8</v>
      </c>
      <c r="D44" s="38">
        <v>0</v>
      </c>
      <c r="E44" s="40">
        <v>379.74200000000002</v>
      </c>
      <c r="F44" s="38">
        <v>95.309769902793164</v>
      </c>
      <c r="G44" s="40">
        <v>386.58499999999998</v>
      </c>
      <c r="H44" s="38"/>
      <c r="I44" s="76">
        <f>393.428</f>
        <v>393.428</v>
      </c>
      <c r="J44" s="38"/>
    </row>
    <row r="45" spans="1:10" s="19" customFormat="1" ht="63" x14ac:dyDescent="0.2">
      <c r="A45" s="10" t="s">
        <v>68</v>
      </c>
      <c r="B45" s="39">
        <v>2571.0390000000002</v>
      </c>
      <c r="C45" s="40">
        <v>2198</v>
      </c>
      <c r="D45" s="38">
        <f t="shared" si="6"/>
        <v>85.490729623315701</v>
      </c>
      <c r="E45" s="40">
        <v>2487.8000000000002</v>
      </c>
      <c r="F45" s="38">
        <f>E45/C45%</f>
        <v>113.18471337579618</v>
      </c>
      <c r="G45" s="40">
        <v>2270.73</v>
      </c>
      <c r="H45" s="38"/>
      <c r="I45" s="40">
        <v>2225.895</v>
      </c>
      <c r="J45" s="38"/>
    </row>
    <row r="46" spans="1:10" s="19" customFormat="1" ht="31.5" x14ac:dyDescent="0.2">
      <c r="A46" s="10" t="s">
        <v>69</v>
      </c>
      <c r="B46" s="41">
        <v>3238.3739999999998</v>
      </c>
      <c r="C46" s="40">
        <v>1363.9</v>
      </c>
      <c r="D46" s="42">
        <v>0</v>
      </c>
      <c r="E46" s="40">
        <v>3227.3</v>
      </c>
      <c r="F46" s="38">
        <v>0</v>
      </c>
      <c r="G46" s="40"/>
      <c r="H46" s="38"/>
      <c r="I46" s="40"/>
      <c r="J46" s="38">
        <v>0</v>
      </c>
    </row>
    <row r="47" spans="1:10" s="19" customFormat="1" ht="31.5" x14ac:dyDescent="0.2">
      <c r="A47" s="10" t="s">
        <v>70</v>
      </c>
      <c r="B47" s="43"/>
      <c r="C47" s="40">
        <v>2021</v>
      </c>
      <c r="D47" s="38" t="e">
        <f>C47/B47%</f>
        <v>#DIV/0!</v>
      </c>
      <c r="E47" s="40">
        <v>2021</v>
      </c>
      <c r="F47" s="38">
        <f>E47/C47%</f>
        <v>100</v>
      </c>
      <c r="G47" s="40"/>
      <c r="H47" s="38">
        <f>G47/E47%</f>
        <v>0</v>
      </c>
      <c r="I47" s="40"/>
      <c r="J47" s="38" t="e">
        <f>I47/G47%</f>
        <v>#DIV/0!</v>
      </c>
    </row>
    <row r="48" spans="1:10" s="19" customFormat="1" ht="26.25" customHeight="1" x14ac:dyDescent="0.2">
      <c r="A48" s="10" t="s">
        <v>86</v>
      </c>
      <c r="B48" s="43">
        <v>4825.13</v>
      </c>
      <c r="C48" s="40"/>
      <c r="D48" s="38"/>
      <c r="E48" s="40"/>
      <c r="F48" s="38"/>
      <c r="G48" s="40"/>
      <c r="H48" s="38"/>
      <c r="I48" s="40"/>
      <c r="J48" s="38"/>
    </row>
    <row r="49" spans="1:10" s="19" customFormat="1" x14ac:dyDescent="0.2">
      <c r="A49" s="10" t="s">
        <v>71</v>
      </c>
      <c r="B49" s="43">
        <f>SUM(B50:B54)</f>
        <v>5684.1869999999999</v>
      </c>
      <c r="C49" s="40">
        <f>C51+C52+C53</f>
        <v>14698.361000000001</v>
      </c>
      <c r="D49" s="42">
        <f>C49/B49%</f>
        <v>258.58334709959405</v>
      </c>
      <c r="E49" s="40"/>
      <c r="F49" s="42">
        <f>E49/C49%</f>
        <v>0</v>
      </c>
      <c r="G49" s="40"/>
      <c r="H49" s="42"/>
      <c r="I49" s="40"/>
      <c r="J49" s="42"/>
    </row>
    <row r="50" spans="1:10" s="19" customFormat="1" ht="31.5" x14ac:dyDescent="0.2">
      <c r="A50" s="10" t="s">
        <v>90</v>
      </c>
      <c r="B50" s="44"/>
      <c r="C50" s="40"/>
      <c r="D50" s="42">
        <v>0</v>
      </c>
      <c r="E50" s="40">
        <v>401</v>
      </c>
      <c r="F50" s="42">
        <v>0</v>
      </c>
      <c r="G50" s="40">
        <v>401</v>
      </c>
      <c r="H50" s="38"/>
      <c r="I50" s="40">
        <v>401</v>
      </c>
      <c r="J50" s="42">
        <v>0</v>
      </c>
    </row>
    <row r="51" spans="1:10" s="19" customFormat="1" ht="31.5" x14ac:dyDescent="0.2">
      <c r="A51" s="10" t="s">
        <v>72</v>
      </c>
      <c r="B51" s="44"/>
      <c r="C51" s="40">
        <v>301</v>
      </c>
      <c r="D51" s="42"/>
      <c r="E51" s="40"/>
      <c r="F51" s="42"/>
      <c r="G51" s="40"/>
      <c r="H51" s="42"/>
      <c r="I51" s="40"/>
      <c r="J51" s="42"/>
    </row>
    <row r="52" spans="1:10" s="19" customFormat="1" ht="63.75" customHeight="1" x14ac:dyDescent="0.2">
      <c r="A52" s="10" t="s">
        <v>73</v>
      </c>
      <c r="B52" s="44">
        <v>5684.1869999999999</v>
      </c>
      <c r="C52" s="40">
        <v>9823</v>
      </c>
      <c r="D52" s="42">
        <v>0</v>
      </c>
      <c r="E52" s="40">
        <v>10332</v>
      </c>
      <c r="F52" s="42">
        <v>0</v>
      </c>
      <c r="G52" s="40">
        <v>10332</v>
      </c>
      <c r="H52" s="42">
        <v>0</v>
      </c>
      <c r="I52" s="40">
        <v>10332</v>
      </c>
      <c r="J52" s="42">
        <v>0</v>
      </c>
    </row>
    <row r="53" spans="1:10" s="19" customFormat="1" ht="53.25" customHeight="1" x14ac:dyDescent="0.2">
      <c r="A53" s="10" t="s">
        <v>89</v>
      </c>
      <c r="B53" s="44"/>
      <c r="C53" s="40">
        <v>4574.3609999999999</v>
      </c>
      <c r="D53" s="42"/>
      <c r="E53" s="40"/>
      <c r="F53" s="42"/>
      <c r="G53" s="40"/>
      <c r="H53" s="42"/>
      <c r="I53" s="40"/>
      <c r="J53" s="42"/>
    </row>
    <row r="54" spans="1:10" s="19" customFormat="1" ht="32.25" hidden="1" customHeight="1" x14ac:dyDescent="0.2">
      <c r="A54" s="10" t="s">
        <v>96</v>
      </c>
      <c r="B54" s="44"/>
      <c r="C54" s="40"/>
      <c r="D54" s="42">
        <v>0</v>
      </c>
      <c r="E54" s="40"/>
      <c r="F54" s="42">
        <v>0</v>
      </c>
      <c r="G54" s="40"/>
      <c r="H54" s="42">
        <v>0</v>
      </c>
      <c r="I54" s="40"/>
      <c r="J54" s="42">
        <v>0</v>
      </c>
    </row>
    <row r="55" spans="1:10" s="19" customFormat="1" ht="24.75" customHeight="1" x14ac:dyDescent="0.2">
      <c r="A55" s="16" t="s">
        <v>57</v>
      </c>
      <c r="B55" s="37">
        <f>SUM(B56:B64)</f>
        <v>127442.41</v>
      </c>
      <c r="C55" s="37">
        <f>SUM(C56:C64)</f>
        <v>124497.41099999999</v>
      </c>
      <c r="D55" s="45">
        <f t="shared" si="6"/>
        <v>97.689153084911055</v>
      </c>
      <c r="E55" s="37">
        <f>SUM(E56:E64)</f>
        <v>135292.9</v>
      </c>
      <c r="F55" s="45">
        <f>E55/C55%</f>
        <v>108.67125582233996</v>
      </c>
      <c r="G55" s="37">
        <f>SUM(G56:G64)</f>
        <v>67397.839000000007</v>
      </c>
      <c r="H55" s="45">
        <f>SUM(H56:H67)</f>
        <v>1320.9999999999998</v>
      </c>
      <c r="I55" s="37">
        <f>SUM(I56:I64)</f>
        <v>87909.432000000001</v>
      </c>
      <c r="J55" s="45">
        <f>I55/G55%</f>
        <v>130.43360633565712</v>
      </c>
    </row>
    <row r="56" spans="1:10" s="19" customFormat="1" ht="33.75" customHeight="1" x14ac:dyDescent="0.2">
      <c r="A56" s="16" t="s">
        <v>58</v>
      </c>
      <c r="B56" s="46">
        <v>1901.229</v>
      </c>
      <c r="C56" s="40">
        <v>1310</v>
      </c>
      <c r="D56" s="42">
        <f t="shared" si="6"/>
        <v>68.902799189366462</v>
      </c>
      <c r="E56" s="40">
        <v>1775</v>
      </c>
      <c r="F56" s="42">
        <f>E56/C56%</f>
        <v>135.49618320610688</v>
      </c>
      <c r="G56" s="40">
        <v>1775</v>
      </c>
      <c r="H56" s="42">
        <f>G56/E56%</f>
        <v>100</v>
      </c>
      <c r="I56" s="40">
        <v>1775</v>
      </c>
      <c r="J56" s="42">
        <f>I56/G56%</f>
        <v>100</v>
      </c>
    </row>
    <row r="57" spans="1:10" s="19" customFormat="1" ht="35.25" customHeight="1" x14ac:dyDescent="0.2">
      <c r="A57" s="16" t="s">
        <v>59</v>
      </c>
      <c r="B57" s="46">
        <v>102392.124</v>
      </c>
      <c r="C57" s="40">
        <v>116599.174</v>
      </c>
      <c r="D57" s="42">
        <f t="shared" si="6"/>
        <v>113.87513945896855</v>
      </c>
      <c r="E57" s="40">
        <v>125693</v>
      </c>
      <c r="F57" s="42">
        <f>E57/C57%</f>
        <v>107.79921991557163</v>
      </c>
      <c r="G57" s="40">
        <v>61367.938999999998</v>
      </c>
      <c r="H57" s="42"/>
      <c r="I57" s="40">
        <v>81973.932000000001</v>
      </c>
      <c r="J57" s="42">
        <f>I57/G57%</f>
        <v>133.57778236613095</v>
      </c>
    </row>
    <row r="58" spans="1:10" s="19" customFormat="1" ht="47.25" x14ac:dyDescent="0.2">
      <c r="A58" s="16" t="s">
        <v>74</v>
      </c>
      <c r="B58" s="43">
        <v>6484.1310000000003</v>
      </c>
      <c r="C58" s="46">
        <v>2679.2069999999999</v>
      </c>
      <c r="D58" s="42">
        <f t="shared" si="6"/>
        <v>41.319445890281976</v>
      </c>
      <c r="E58" s="40">
        <v>3716.4</v>
      </c>
      <c r="F58" s="42">
        <f>E58/C58%</f>
        <v>138.71268625380571</v>
      </c>
      <c r="G58" s="40">
        <v>0</v>
      </c>
      <c r="H58" s="42">
        <f>G58/E58%</f>
        <v>0</v>
      </c>
      <c r="I58" s="40">
        <v>0</v>
      </c>
      <c r="J58" s="42" t="e">
        <f>I58/G58%</f>
        <v>#DIV/0!</v>
      </c>
    </row>
    <row r="59" spans="1:10" s="19" customFormat="1" ht="47.25" x14ac:dyDescent="0.2">
      <c r="A59" s="16" t="s">
        <v>75</v>
      </c>
      <c r="B59" s="39">
        <v>16.2</v>
      </c>
      <c r="C59" s="40">
        <v>6</v>
      </c>
      <c r="D59" s="42">
        <f t="shared" si="6"/>
        <v>37.037037037037038</v>
      </c>
      <c r="E59" s="40">
        <v>10</v>
      </c>
      <c r="F59" s="42">
        <f>E59/C59%</f>
        <v>166.66666666666669</v>
      </c>
      <c r="G59" s="40">
        <v>122.1</v>
      </c>
      <c r="H59" s="42">
        <f>G59/E59%</f>
        <v>1220.9999999999998</v>
      </c>
      <c r="I59" s="40">
        <v>13.4</v>
      </c>
      <c r="J59" s="42">
        <f>I59/G59%</f>
        <v>10.974610974610977</v>
      </c>
    </row>
    <row r="60" spans="1:10" s="19" customFormat="1" ht="47.25" x14ac:dyDescent="0.2">
      <c r="A60" s="16" t="s">
        <v>76</v>
      </c>
      <c r="B60" s="39">
        <v>13824.956</v>
      </c>
      <c r="C60" s="40"/>
      <c r="D60" s="42">
        <f t="shared" si="6"/>
        <v>0</v>
      </c>
      <c r="E60" s="40"/>
      <c r="F60" s="42"/>
      <c r="G60" s="40"/>
      <c r="H60" s="42"/>
      <c r="I60" s="40"/>
      <c r="J60" s="42"/>
    </row>
    <row r="61" spans="1:10" s="19" customFormat="1" ht="31.5" x14ac:dyDescent="0.2">
      <c r="A61" s="16" t="s">
        <v>77</v>
      </c>
      <c r="B61" s="39">
        <v>2576.9699999999998</v>
      </c>
      <c r="C61" s="40">
        <v>1815</v>
      </c>
      <c r="D61" s="42">
        <f t="shared" si="6"/>
        <v>70.431553335894492</v>
      </c>
      <c r="E61" s="40">
        <v>1400</v>
      </c>
      <c r="F61" s="42">
        <f>E61/C61%</f>
        <v>77.134986225895318</v>
      </c>
      <c r="G61" s="40">
        <v>1400</v>
      </c>
      <c r="H61" s="42"/>
      <c r="I61" s="40">
        <v>1400</v>
      </c>
      <c r="J61" s="42">
        <f>I61/G61%</f>
        <v>100</v>
      </c>
    </row>
    <row r="62" spans="1:10" s="19" customFormat="1" ht="63" hidden="1" x14ac:dyDescent="0.2">
      <c r="A62" s="16" t="s">
        <v>78</v>
      </c>
      <c r="B62" s="39"/>
      <c r="C62" s="46"/>
      <c r="D62" s="42" t="e">
        <f t="shared" si="6"/>
        <v>#DIV/0!</v>
      </c>
      <c r="E62" s="40"/>
      <c r="F62" s="42" t="e">
        <f>E62/C62%</f>
        <v>#DIV/0!</v>
      </c>
      <c r="G62" s="40"/>
      <c r="H62" s="42"/>
      <c r="I62" s="40"/>
      <c r="J62" s="42" t="e">
        <f>I62/G62%</f>
        <v>#DIV/0!</v>
      </c>
    </row>
    <row r="63" spans="1:10" s="15" customFormat="1" ht="34.5" customHeight="1" x14ac:dyDescent="0.2">
      <c r="A63" s="16" t="s">
        <v>79</v>
      </c>
      <c r="B63" s="39">
        <v>246.8</v>
      </c>
      <c r="C63" s="40">
        <v>249.8</v>
      </c>
      <c r="D63" s="42">
        <f t="shared" si="6"/>
        <v>101.21555915721233</v>
      </c>
      <c r="E63" s="40">
        <v>350.5</v>
      </c>
      <c r="F63" s="42">
        <f>E63/C63%</f>
        <v>140.31224979983986</v>
      </c>
      <c r="G63" s="40">
        <v>384.8</v>
      </c>
      <c r="H63" s="42">
        <v>0</v>
      </c>
      <c r="I63" s="40">
        <v>399.1</v>
      </c>
      <c r="J63" s="42">
        <v>0</v>
      </c>
    </row>
    <row r="64" spans="1:10" s="15" customFormat="1" ht="55.5" customHeight="1" x14ac:dyDescent="0.2">
      <c r="A64" s="16" t="s">
        <v>97</v>
      </c>
      <c r="B64" s="39"/>
      <c r="C64" s="40">
        <v>1838.23</v>
      </c>
      <c r="D64" s="42"/>
      <c r="E64" s="40">
        <v>2348</v>
      </c>
      <c r="F64" s="42">
        <f>E64/C64%</f>
        <v>127.73156786691546</v>
      </c>
      <c r="G64" s="40">
        <v>2348</v>
      </c>
      <c r="H64" s="42"/>
      <c r="I64" s="40">
        <v>2348</v>
      </c>
      <c r="J64" s="42">
        <f>I64/G64%</f>
        <v>100</v>
      </c>
    </row>
    <row r="65" spans="1:213" s="15" customFormat="1" ht="47.25" hidden="1" x14ac:dyDescent="0.2">
      <c r="A65" s="16" t="s">
        <v>81</v>
      </c>
      <c r="B65" s="44"/>
      <c r="C65" s="40"/>
      <c r="D65" s="42"/>
      <c r="E65" s="40"/>
      <c r="F65" s="42"/>
      <c r="G65" s="40"/>
      <c r="H65" s="42"/>
      <c r="I65" s="40"/>
      <c r="J65" s="42"/>
    </row>
    <row r="66" spans="1:213" s="15" customFormat="1" x14ac:dyDescent="0.2">
      <c r="A66" s="16" t="s">
        <v>65</v>
      </c>
      <c r="B66" s="47">
        <f>B67+B69</f>
        <v>4479.8189999999995</v>
      </c>
      <c r="C66" s="37">
        <f>SUM(C67:C69)</f>
        <v>9210.1999999999989</v>
      </c>
      <c r="D66" s="37">
        <f t="shared" ref="D66:J66" si="7">SUM(D67:D69)</f>
        <v>205.08766843675713</v>
      </c>
      <c r="E66" s="37">
        <f>SUM(E67:E69)</f>
        <v>8413.3439999999991</v>
      </c>
      <c r="F66" s="37">
        <f t="shared" si="7"/>
        <v>164.31577287704326</v>
      </c>
      <c r="G66" s="37">
        <f t="shared" si="7"/>
        <v>8085.42</v>
      </c>
      <c r="H66" s="37">
        <f t="shared" si="7"/>
        <v>0</v>
      </c>
      <c r="I66" s="37">
        <f t="shared" si="7"/>
        <v>8085.42</v>
      </c>
      <c r="J66" s="37">
        <f t="shared" si="7"/>
        <v>0</v>
      </c>
    </row>
    <row r="67" spans="1:213" s="15" customFormat="1" ht="63" x14ac:dyDescent="0.2">
      <c r="A67" s="16" t="s">
        <v>82</v>
      </c>
      <c r="B67" s="44">
        <v>3645.953</v>
      </c>
      <c r="C67" s="40">
        <v>7477.4</v>
      </c>
      <c r="D67" s="42">
        <f t="shared" si="6"/>
        <v>205.08766843675713</v>
      </c>
      <c r="E67" s="40">
        <v>7905.7439999999997</v>
      </c>
      <c r="F67" s="42">
        <f>E67/C67%</f>
        <v>105.72851525931473</v>
      </c>
      <c r="G67" s="40">
        <v>7905.7439999999997</v>
      </c>
      <c r="H67" s="42"/>
      <c r="I67" s="40">
        <v>7905.7439999999997</v>
      </c>
      <c r="J67" s="42"/>
    </row>
    <row r="68" spans="1:213" s="15" customFormat="1" ht="63" x14ac:dyDescent="0.2">
      <c r="A68" s="16" t="s">
        <v>83</v>
      </c>
      <c r="B68" s="44">
        <v>833.86599999999999</v>
      </c>
      <c r="C68" s="40">
        <v>866.4</v>
      </c>
      <c r="D68" s="42">
        <v>0</v>
      </c>
      <c r="E68" s="40">
        <v>328</v>
      </c>
      <c r="F68" s="42">
        <f t="shared" ref="F68" si="8">E68/C68%</f>
        <v>37.857802400738692</v>
      </c>
      <c r="G68" s="40"/>
      <c r="H68" s="42"/>
      <c r="I68" s="40"/>
      <c r="J68" s="42"/>
    </row>
    <row r="69" spans="1:213" s="15" customFormat="1" ht="94.5" x14ac:dyDescent="0.2">
      <c r="A69" s="16" t="s">
        <v>112</v>
      </c>
      <c r="B69" s="44">
        <v>833.86599999999999</v>
      </c>
      <c r="C69" s="40">
        <v>866.4</v>
      </c>
      <c r="D69" s="42">
        <v>0</v>
      </c>
      <c r="E69" s="40">
        <v>179.6</v>
      </c>
      <c r="F69" s="42">
        <f>E69/C69%</f>
        <v>20.729455216989845</v>
      </c>
      <c r="G69" s="40">
        <v>179.67599999999999</v>
      </c>
      <c r="H69" s="42"/>
      <c r="I69" s="40">
        <v>179.67599999999999</v>
      </c>
      <c r="J69" s="42"/>
    </row>
    <row r="70" spans="1:213" s="15" customFormat="1" hidden="1" x14ac:dyDescent="0.2">
      <c r="A70" s="16" t="s">
        <v>17</v>
      </c>
      <c r="B70" s="46"/>
      <c r="C70" s="40"/>
      <c r="D70" s="38"/>
      <c r="E70" s="40"/>
      <c r="F70" s="38"/>
      <c r="G70" s="40"/>
      <c r="H70" s="38"/>
      <c r="I70" s="40"/>
      <c r="J70" s="38"/>
      <c r="HE70" s="17">
        <v>153900.098</v>
      </c>
    </row>
    <row r="71" spans="1:213" s="15" customFormat="1" ht="31.5" hidden="1" x14ac:dyDescent="0.2">
      <c r="A71" s="16" t="s">
        <v>16</v>
      </c>
      <c r="B71" s="46"/>
      <c r="C71" s="40"/>
      <c r="D71" s="38"/>
      <c r="E71" s="40"/>
      <c r="F71" s="38"/>
      <c r="G71" s="40"/>
      <c r="H71" s="38"/>
      <c r="I71" s="40"/>
      <c r="J71" s="38"/>
    </row>
    <row r="72" spans="1:213" s="13" customFormat="1" x14ac:dyDescent="0.2">
      <c r="A72" s="14" t="s">
        <v>15</v>
      </c>
      <c r="B72" s="48">
        <f>B33+B37</f>
        <v>230608.55403</v>
      </c>
      <c r="C72" s="37">
        <f>C33+C37</f>
        <v>243075.67200000002</v>
      </c>
      <c r="D72" s="49">
        <f t="shared" si="6"/>
        <v>105.40618192696276</v>
      </c>
      <c r="E72" s="37">
        <f>E33+E37</f>
        <v>262638.08600000001</v>
      </c>
      <c r="F72" s="49">
        <f>E72/C72%</f>
        <v>108.04786996536616</v>
      </c>
      <c r="G72" s="37">
        <f>G33+G37</f>
        <v>171660.57400000002</v>
      </c>
      <c r="H72" s="49">
        <f>G72/E72%</f>
        <v>65.360122217765479</v>
      </c>
      <c r="I72" s="57">
        <f>I33+I37</f>
        <v>196169.875</v>
      </c>
      <c r="J72" s="49">
        <f>I72/G72%</f>
        <v>114.27776945450502</v>
      </c>
    </row>
    <row r="73" spans="1:213" s="11" customFormat="1" ht="11.25" customHeight="1" x14ac:dyDescent="0.2">
      <c r="A73" s="12"/>
      <c r="B73" s="50"/>
      <c r="C73" s="50"/>
      <c r="D73" s="38"/>
      <c r="E73" s="50"/>
      <c r="F73" s="38"/>
      <c r="G73" s="50"/>
      <c r="H73" s="38"/>
      <c r="I73" s="50"/>
      <c r="J73" s="38"/>
    </row>
    <row r="74" spans="1:213" s="6" customFormat="1" x14ac:dyDescent="0.2">
      <c r="A74" s="5" t="s">
        <v>14</v>
      </c>
      <c r="B74" s="50">
        <f>B34+B72-B93</f>
        <v>10763.893030000007</v>
      </c>
      <c r="C74" s="50">
        <f>C34+C72-C93</f>
        <v>-1053.224269999977</v>
      </c>
      <c r="D74" s="49"/>
      <c r="E74" s="50">
        <f>E72-E93</f>
        <v>269.98600000003353</v>
      </c>
      <c r="F74" s="49"/>
      <c r="G74" s="50">
        <f>G72-G93</f>
        <v>4.0000000153668225E-3</v>
      </c>
      <c r="H74" s="49"/>
      <c r="I74" s="50">
        <f>I72-I93</f>
        <v>2.2999999986495823E-2</v>
      </c>
      <c r="J74" s="49"/>
    </row>
    <row r="75" spans="1:213" s="6" customFormat="1" x14ac:dyDescent="0.2">
      <c r="A75" s="8" t="s">
        <v>13</v>
      </c>
      <c r="B75" s="51">
        <f>B72/B33</f>
        <v>6.1079305953663861</v>
      </c>
      <c r="C75" s="51">
        <f>C72/C33</f>
        <v>5.5969530739120428</v>
      </c>
      <c r="D75" s="38"/>
      <c r="E75" s="51">
        <f>E72/E33</f>
        <v>5.5244543867398672</v>
      </c>
      <c r="F75" s="38"/>
      <c r="G75" s="51">
        <f>G72/G33</f>
        <v>3.1840293435720515</v>
      </c>
      <c r="H75" s="38"/>
      <c r="I75" s="51">
        <f>I72/I33</f>
        <v>2.9946856013189631</v>
      </c>
      <c r="J75" s="38"/>
    </row>
    <row r="76" spans="1:213" s="6" customFormat="1" x14ac:dyDescent="0.2">
      <c r="A76" s="10"/>
      <c r="B76" s="32"/>
      <c r="C76" s="32"/>
      <c r="D76" s="38"/>
      <c r="E76" s="32"/>
      <c r="F76" s="38"/>
      <c r="G76" s="32"/>
      <c r="H76" s="38"/>
      <c r="I76" s="32"/>
      <c r="J76" s="38"/>
    </row>
    <row r="77" spans="1:213" s="6" customFormat="1" x14ac:dyDescent="0.2">
      <c r="A77" s="9" t="s">
        <v>12</v>
      </c>
      <c r="B77" s="32"/>
      <c r="C77" s="32"/>
      <c r="D77" s="38"/>
      <c r="E77" s="32"/>
      <c r="F77" s="38"/>
      <c r="G77" s="32"/>
      <c r="H77" s="38"/>
      <c r="I77" s="32"/>
      <c r="J77" s="38"/>
    </row>
    <row r="78" spans="1:213" s="6" customFormat="1" x14ac:dyDescent="0.2">
      <c r="A78" s="5" t="s">
        <v>11</v>
      </c>
      <c r="B78" s="32">
        <v>22829</v>
      </c>
      <c r="C78" s="32">
        <v>23436.539000000001</v>
      </c>
      <c r="D78" s="38">
        <f t="shared" si="6"/>
        <v>102.66125980113014</v>
      </c>
      <c r="E78" s="6">
        <v>27193</v>
      </c>
      <c r="F78" s="38">
        <f>'ПРОГНОЗ КБ 2024 г.Консол'!E78/C78%</f>
        <v>167.26104481553352</v>
      </c>
      <c r="G78" s="32">
        <v>23438.075999999997</v>
      </c>
      <c r="H78" s="38">
        <f>G78/'ПРОГНОЗ КБ 2024 г.Консол'!E78%</f>
        <v>59.790705149463527</v>
      </c>
      <c r="I78" s="32">
        <v>23214.522000000001</v>
      </c>
      <c r="J78" s="38">
        <f>I78/G78%</f>
        <v>99.046193040759846</v>
      </c>
      <c r="K78" s="29"/>
    </row>
    <row r="79" spans="1:213" s="6" customFormat="1" x14ac:dyDescent="0.2">
      <c r="A79" s="5" t="s">
        <v>10</v>
      </c>
      <c r="B79" s="32">
        <v>246.8</v>
      </c>
      <c r="C79" s="32">
        <v>249.8</v>
      </c>
      <c r="D79" s="38">
        <f t="shared" si="6"/>
        <v>101.21555915721233</v>
      </c>
      <c r="E79" s="6">
        <v>350.5</v>
      </c>
      <c r="F79" s="38">
        <f>'ПРОГНОЗ КБ 2024 г.Консол'!E79/C79%</f>
        <v>140.31224979983986</v>
      </c>
      <c r="G79" s="32">
        <v>384.8</v>
      </c>
      <c r="H79" s="38">
        <v>0</v>
      </c>
      <c r="I79" s="32">
        <v>399.1</v>
      </c>
      <c r="J79" s="38">
        <v>0</v>
      </c>
      <c r="K79" s="29"/>
    </row>
    <row r="80" spans="1:213" s="6" customFormat="1" ht="31.5" x14ac:dyDescent="0.2">
      <c r="A80" s="8" t="s">
        <v>9</v>
      </c>
      <c r="B80" s="32">
        <v>3208</v>
      </c>
      <c r="C80" s="32">
        <v>2874.69</v>
      </c>
      <c r="D80" s="38">
        <f t="shared" si="6"/>
        <v>89.610037406483798</v>
      </c>
      <c r="E80" s="6">
        <v>3356.9</v>
      </c>
      <c r="F80" s="38">
        <f>'ПРОГНОЗ КБ 2024 г.Консол'!E80/C80%</f>
        <v>117.47005764099781</v>
      </c>
      <c r="G80" s="32">
        <v>2864.7669999999998</v>
      </c>
      <c r="H80" s="38">
        <f>G80/'ПРОГНОЗ КБ 2024 г.Консол'!E80%</f>
        <v>84.834226657585361</v>
      </c>
      <c r="I80" s="32">
        <v>2989.7669999999998</v>
      </c>
      <c r="J80" s="38">
        <f>I80/G80%</f>
        <v>104.36335660107785</v>
      </c>
      <c r="K80" s="29"/>
    </row>
    <row r="81" spans="1:215" s="6" customFormat="1" x14ac:dyDescent="0.2">
      <c r="A81" s="5" t="s">
        <v>8</v>
      </c>
      <c r="B81" s="32">
        <v>18918.5</v>
      </c>
      <c r="C81" s="32">
        <v>28225.957999999999</v>
      </c>
      <c r="D81" s="38">
        <f>C81/B81%</f>
        <v>149.19765309088987</v>
      </c>
      <c r="E81" s="6">
        <v>20362.3</v>
      </c>
      <c r="F81" s="38">
        <f>'ПРОГНОЗ КБ 2024 г.Консол'!E81/C81%</f>
        <v>83.585471217664264</v>
      </c>
      <c r="G81" s="32">
        <v>19401.096000000001</v>
      </c>
      <c r="H81" s="38">
        <v>124</v>
      </c>
      <c r="I81" s="32">
        <v>23454.1</v>
      </c>
      <c r="J81" s="38">
        <f>I81/G81%</f>
        <v>120.89059298505609</v>
      </c>
      <c r="K81" s="29"/>
    </row>
    <row r="82" spans="1:215" s="6" customFormat="1" x14ac:dyDescent="0.2">
      <c r="A82" s="5" t="s">
        <v>7</v>
      </c>
      <c r="B82" s="32"/>
      <c r="C82" s="32">
        <v>7758.56</v>
      </c>
      <c r="D82" s="38"/>
      <c r="E82" s="6">
        <v>2041.2</v>
      </c>
      <c r="F82" s="38">
        <f>'ПРОГНОЗ КБ 2024 г.Консол'!E82/C82%</f>
        <v>41.350456785795302</v>
      </c>
      <c r="G82" s="32">
        <v>111.68</v>
      </c>
      <c r="H82" s="38">
        <f>G82/'ПРОГНОЗ КБ 2024 г.Консол'!E82%</f>
        <v>3.4810797331837167</v>
      </c>
      <c r="I82" s="32">
        <v>1300.24</v>
      </c>
      <c r="J82" s="38">
        <f>I82/G82%</f>
        <v>1164.2550143266476</v>
      </c>
      <c r="K82" s="29"/>
    </row>
    <row r="83" spans="1:215" s="6" customFormat="1" x14ac:dyDescent="0.2">
      <c r="A83" s="5" t="s">
        <v>6</v>
      </c>
      <c r="B83" s="32">
        <v>180</v>
      </c>
      <c r="C83" s="32">
        <v>8</v>
      </c>
      <c r="D83" s="38">
        <f t="shared" si="6"/>
        <v>4.4444444444444446</v>
      </c>
      <c r="E83" s="6">
        <v>250</v>
      </c>
      <c r="F83" s="38">
        <f>'ПРОГНОЗ КБ 2024 г.Консол'!E83/C83%</f>
        <v>3125</v>
      </c>
      <c r="G83" s="32">
        <v>300</v>
      </c>
      <c r="H83" s="38">
        <f>G83/'ПРОГНОЗ КБ 2024 г.Консол'!E83%</f>
        <v>120</v>
      </c>
      <c r="I83" s="32">
        <v>200</v>
      </c>
      <c r="J83" s="38">
        <v>0</v>
      </c>
      <c r="K83" s="29"/>
    </row>
    <row r="84" spans="1:215" s="6" customFormat="1" x14ac:dyDescent="0.2">
      <c r="A84" s="5" t="s">
        <v>5</v>
      </c>
      <c r="B84" s="32">
        <v>124122.3</v>
      </c>
      <c r="C84" s="32">
        <v>145485.44399999999</v>
      </c>
      <c r="D84" s="38">
        <f t="shared" si="6"/>
        <v>117.21136653123573</v>
      </c>
      <c r="E84" s="6">
        <v>157515.9</v>
      </c>
      <c r="F84" s="38">
        <f>'ПРОГНОЗ КБ 2024 г.Консол'!E84/C84%</f>
        <v>108.26918189836229</v>
      </c>
      <c r="G84" s="32">
        <v>86280.075000000012</v>
      </c>
      <c r="H84" s="38">
        <f>G84/'ПРОГНОЗ КБ 2024 г.Консол'!E84%</f>
        <v>54.775470285856869</v>
      </c>
      <c r="I84" s="32">
        <v>106232.023</v>
      </c>
      <c r="J84" s="38">
        <f>I84/G84%</f>
        <v>123.12462987543762</v>
      </c>
      <c r="K84" s="29"/>
    </row>
    <row r="85" spans="1:215" s="6" customFormat="1" x14ac:dyDescent="0.2">
      <c r="A85" s="5" t="s">
        <v>61</v>
      </c>
      <c r="B85" s="32">
        <v>1534.3</v>
      </c>
      <c r="C85" s="32">
        <v>1980.7090000000001</v>
      </c>
      <c r="D85" s="38">
        <f t="shared" si="6"/>
        <v>129.09528775337287</v>
      </c>
      <c r="E85" s="6">
        <v>2184</v>
      </c>
      <c r="F85" s="38">
        <f>'ПРОГНОЗ КБ 2024 г.Консол'!E85/C85%</f>
        <v>890.89310948756213</v>
      </c>
      <c r="G85" s="32">
        <v>1814.337</v>
      </c>
      <c r="H85" s="38">
        <f>G85/'ПРОГНОЗ КБ 2024 г.Консол'!E85%</f>
        <v>10.281859911594696</v>
      </c>
      <c r="I85" s="32">
        <v>1814.3</v>
      </c>
      <c r="J85" s="38">
        <f>I85/G85%</f>
        <v>99.997960687567954</v>
      </c>
      <c r="K85" s="29"/>
    </row>
    <row r="86" spans="1:215" s="6" customFormat="1" x14ac:dyDescent="0.2">
      <c r="A86" s="5" t="s">
        <v>4</v>
      </c>
      <c r="B86" s="32">
        <v>229.6</v>
      </c>
      <c r="C86" s="32">
        <v>300</v>
      </c>
      <c r="D86" s="38">
        <f t="shared" si="6"/>
        <v>130.66202090592336</v>
      </c>
      <c r="E86" s="6">
        <v>402</v>
      </c>
      <c r="F86" s="38">
        <f>'ПРОГНОЗ КБ 2024 г.Консол'!E86/C86%</f>
        <v>134</v>
      </c>
      <c r="G86" s="32">
        <v>400</v>
      </c>
      <c r="H86" s="38">
        <f>G86/'ПРОГНОЗ КБ 2024 г.Консол'!E86%</f>
        <v>99.50248756218906</v>
      </c>
      <c r="I86" s="32">
        <v>500</v>
      </c>
      <c r="J86" s="38">
        <f>I86/G86%</f>
        <v>125</v>
      </c>
      <c r="K86" s="29"/>
    </row>
    <row r="87" spans="1:215" s="6" customFormat="1" x14ac:dyDescent="0.2">
      <c r="A87" s="5" t="s">
        <v>3</v>
      </c>
      <c r="B87" s="32">
        <v>30948.400000000001</v>
      </c>
      <c r="C87" s="32">
        <v>12622.120999999999</v>
      </c>
      <c r="D87" s="38">
        <f t="shared" si="6"/>
        <v>40.784405655865882</v>
      </c>
      <c r="E87" s="6">
        <v>16349.9</v>
      </c>
      <c r="F87" s="38">
        <f>'ПРОГНОЗ КБ 2024 г.Консол'!E87/C87%</f>
        <v>129.53369722885719</v>
      </c>
      <c r="G87" s="32">
        <v>11356.739</v>
      </c>
      <c r="H87" s="38">
        <f>G87/'ПРОГНОЗ КБ 2024 г.Консол'!E87%</f>
        <v>69.460602205518072</v>
      </c>
      <c r="I87" s="32">
        <v>11356.7</v>
      </c>
      <c r="J87" s="38">
        <f>I87/G87%</f>
        <v>99.999656591562086</v>
      </c>
      <c r="K87" s="29"/>
    </row>
    <row r="88" spans="1:215" s="6" customFormat="1" x14ac:dyDescent="0.2">
      <c r="A88" s="5" t="s">
        <v>2</v>
      </c>
      <c r="B88" s="32">
        <v>1264.9000000000001</v>
      </c>
      <c r="C88" s="32">
        <v>2107.1</v>
      </c>
      <c r="D88" s="38">
        <f t="shared" si="6"/>
        <v>166.58233852478455</v>
      </c>
      <c r="E88" s="6">
        <v>700</v>
      </c>
      <c r="F88" s="38">
        <f>'ПРОГНОЗ КБ 2024 г.Консол'!E88/C88%</f>
        <v>33.221014664705045</v>
      </c>
      <c r="G88" s="32">
        <v>700</v>
      </c>
      <c r="H88" s="38">
        <f>G88/'ПРОГНОЗ КБ 2024 г.Консол'!E88%</f>
        <v>100</v>
      </c>
      <c r="I88" s="32">
        <v>700</v>
      </c>
      <c r="J88" s="38">
        <v>0</v>
      </c>
      <c r="K88" s="29"/>
    </row>
    <row r="89" spans="1:215" s="6" customFormat="1" x14ac:dyDescent="0.2">
      <c r="A89" s="5" t="s">
        <v>1</v>
      </c>
      <c r="B89" s="32">
        <v>125.8</v>
      </c>
      <c r="C89" s="32">
        <v>22</v>
      </c>
      <c r="D89" s="38">
        <f t="shared" si="6"/>
        <v>17.488076311605724</v>
      </c>
      <c r="E89" s="6">
        <v>60</v>
      </c>
      <c r="F89" s="38">
        <f>'ПРОГНОЗ КБ 2024 г.Консол'!E89/C89%</f>
        <v>272.72727272727275</v>
      </c>
      <c r="G89" s="32">
        <v>100</v>
      </c>
      <c r="H89" s="38">
        <f>G89/'ПРОГНОЗ КБ 2024 г.Консол'!E89%</f>
        <v>166.66666666666669</v>
      </c>
      <c r="I89" s="32">
        <v>100</v>
      </c>
      <c r="J89" s="38">
        <v>0</v>
      </c>
      <c r="K89" s="29"/>
    </row>
    <row r="90" spans="1:215" s="6" customFormat="1" ht="30.75" customHeight="1" x14ac:dyDescent="0.2">
      <c r="A90" s="5" t="s">
        <v>84</v>
      </c>
      <c r="B90" s="32">
        <v>0.22</v>
      </c>
      <c r="C90" s="32"/>
      <c r="D90" s="38"/>
      <c r="E90" s="52"/>
      <c r="F90" s="38"/>
      <c r="G90" s="32"/>
      <c r="H90" s="38"/>
      <c r="I90" s="32"/>
      <c r="J90" s="38"/>
      <c r="K90" s="29"/>
    </row>
    <row r="91" spans="1:215" s="6" customFormat="1" ht="47.25" x14ac:dyDescent="0.2">
      <c r="A91" s="5" t="s">
        <v>62</v>
      </c>
      <c r="B91" s="52">
        <v>23662.5</v>
      </c>
      <c r="C91" s="52">
        <v>29822.057000000001</v>
      </c>
      <c r="D91" s="38">
        <f t="shared" si="6"/>
        <v>126.03088008452193</v>
      </c>
      <c r="E91" s="52">
        <v>31602.400000000001</v>
      </c>
      <c r="F91" s="38">
        <f>E91/C91%</f>
        <v>105.96988665134668</v>
      </c>
      <c r="G91" s="52">
        <v>24509</v>
      </c>
      <c r="H91" s="38">
        <f>G91/E91%</f>
        <v>77.554236387109839</v>
      </c>
      <c r="I91" s="52">
        <v>23909.1</v>
      </c>
      <c r="J91" s="38">
        <f>I91/G91%</f>
        <v>97.552327716349083</v>
      </c>
      <c r="K91" s="29"/>
    </row>
    <row r="92" spans="1:215" s="6" customFormat="1" x14ac:dyDescent="0.2">
      <c r="A92" s="5"/>
      <c r="B92" s="52"/>
      <c r="C92" s="52"/>
      <c r="D92" s="53"/>
      <c r="E92" s="52"/>
      <c r="F92" s="53"/>
      <c r="G92" s="52"/>
      <c r="H92" s="53"/>
      <c r="I92" s="52"/>
      <c r="J92" s="53"/>
    </row>
    <row r="93" spans="1:215" x14ac:dyDescent="0.25">
      <c r="A93" s="5" t="s">
        <v>0</v>
      </c>
      <c r="B93" s="54">
        <f>SUM(B78:B91)</f>
        <v>227270.31999999998</v>
      </c>
      <c r="C93" s="55">
        <f>SUM(C78:C91)</f>
        <v>254892.978</v>
      </c>
      <c r="D93" s="56">
        <v>124.84773935280262</v>
      </c>
      <c r="E93" s="55">
        <f>SUM(E78:E91)</f>
        <v>262368.09999999998</v>
      </c>
      <c r="F93" s="56">
        <f>E93/C93%</f>
        <v>102.93265120861822</v>
      </c>
      <c r="G93" s="55">
        <f>SUM(G78:G91)</f>
        <v>171660.57</v>
      </c>
      <c r="H93" s="56">
        <f>G93/E93%</f>
        <v>65.427378557073069</v>
      </c>
      <c r="I93" s="55">
        <f>SUM(I78:I91)</f>
        <v>196169.85200000001</v>
      </c>
      <c r="J93" s="56">
        <f>I93/G93%</f>
        <v>114.27775871884849</v>
      </c>
      <c r="K93" s="30"/>
      <c r="L93" s="30"/>
    </row>
    <row r="94" spans="1:215" s="2" customFormat="1" x14ac:dyDescent="0.25">
      <c r="A94" s="3"/>
      <c r="C94" s="33"/>
      <c r="D94" s="7"/>
      <c r="E94" s="7"/>
      <c r="G94" s="7"/>
      <c r="I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</row>
    <row r="95" spans="1:215" s="2" customFormat="1" x14ac:dyDescent="0.25">
      <c r="A95" s="3"/>
      <c r="C95" s="33"/>
      <c r="D95" s="7"/>
      <c r="E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</row>
    <row r="96" spans="1:215" s="2" customFormat="1" x14ac:dyDescent="0.25">
      <c r="A96" s="3"/>
      <c r="C96" s="33"/>
      <c r="D96" s="7"/>
      <c r="E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</row>
    <row r="97" spans="1:215" s="2" customFormat="1" x14ac:dyDescent="0.25">
      <c r="A97" s="3"/>
      <c r="C97" s="33"/>
      <c r="D97" s="7"/>
      <c r="E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</row>
    <row r="98" spans="1:215" s="2" customFormat="1" x14ac:dyDescent="0.25">
      <c r="A98" s="3"/>
      <c r="C98" s="33"/>
      <c r="D98" s="7"/>
      <c r="E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</row>
    <row r="99" spans="1:215" s="2" customFormat="1" x14ac:dyDescent="0.25">
      <c r="A99" s="3"/>
      <c r="C99" s="33"/>
      <c r="D99" s="7"/>
      <c r="E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</row>
    <row r="100" spans="1:215" s="2" customFormat="1" x14ac:dyDescent="0.25">
      <c r="A100" s="3"/>
      <c r="C100" s="33"/>
      <c r="D100" s="7"/>
      <c r="E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</row>
    <row r="101" spans="1:215" s="2" customFormat="1" x14ac:dyDescent="0.25">
      <c r="A101" s="3"/>
      <c r="C101" s="33"/>
      <c r="D101" s="7"/>
      <c r="E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</row>
    <row r="102" spans="1:215" s="2" customFormat="1" x14ac:dyDescent="0.25">
      <c r="A102" s="3"/>
      <c r="C102" s="33"/>
      <c r="D102" s="7"/>
      <c r="E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</row>
    <row r="103" spans="1:215" s="2" customFormat="1" x14ac:dyDescent="0.25">
      <c r="A103" s="3"/>
      <c r="C103" s="33"/>
      <c r="D103" s="7"/>
      <c r="E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</row>
    <row r="104" spans="1:215" s="2" customFormat="1" x14ac:dyDescent="0.25">
      <c r="A104" s="3"/>
      <c r="C104" s="33"/>
      <c r="D104" s="7"/>
      <c r="E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</row>
    <row r="105" spans="1:215" s="2" customFormat="1" x14ac:dyDescent="0.25">
      <c r="A105" s="3"/>
      <c r="C105" s="33"/>
      <c r="D105" s="7"/>
      <c r="E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</row>
    <row r="106" spans="1:215" s="2" customFormat="1" x14ac:dyDescent="0.25">
      <c r="A106" s="3"/>
      <c r="C106" s="33"/>
      <c r="D106" s="7"/>
      <c r="E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</row>
    <row r="107" spans="1:215" s="2" customFormat="1" x14ac:dyDescent="0.25">
      <c r="A107" s="3"/>
      <c r="C107" s="33"/>
      <c r="D107" s="7"/>
      <c r="E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</row>
    <row r="108" spans="1:215" s="2" customFormat="1" x14ac:dyDescent="0.25">
      <c r="A108" s="3"/>
      <c r="C108" s="33"/>
      <c r="D108" s="7"/>
      <c r="E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</row>
    <row r="109" spans="1:215" s="2" customFormat="1" x14ac:dyDescent="0.25">
      <c r="A109" s="3"/>
      <c r="C109" s="33"/>
      <c r="D109" s="7"/>
      <c r="E109" s="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</row>
    <row r="110" spans="1:215" s="2" customFormat="1" x14ac:dyDescent="0.25">
      <c r="A110" s="3"/>
      <c r="C110" s="33"/>
      <c r="D110" s="4"/>
      <c r="E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</row>
    <row r="111" spans="1:215" s="2" customFormat="1" x14ac:dyDescent="0.25">
      <c r="A111" s="3"/>
      <c r="C111" s="3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</row>
    <row r="112" spans="1:215" s="2" customFormat="1" x14ac:dyDescent="0.25">
      <c r="A112" s="3"/>
      <c r="C112" s="3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</row>
    <row r="113" spans="1:215" s="2" customFormat="1" x14ac:dyDescent="0.25">
      <c r="A113" s="3"/>
      <c r="C113" s="3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</row>
    <row r="114" spans="1:215" s="2" customFormat="1" x14ac:dyDescent="0.25">
      <c r="A114" s="3"/>
      <c r="C114" s="3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</row>
    <row r="115" spans="1:215" s="2" customFormat="1" x14ac:dyDescent="0.25">
      <c r="A115" s="3"/>
      <c r="C115" s="3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</row>
    <row r="116" spans="1:215" s="2" customFormat="1" x14ac:dyDescent="0.25">
      <c r="A116" s="3"/>
      <c r="C116" s="3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</row>
    <row r="117" spans="1:215" s="2" customFormat="1" x14ac:dyDescent="0.25">
      <c r="A117" s="3"/>
      <c r="C117" s="3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</row>
    <row r="118" spans="1:215" s="2" customFormat="1" x14ac:dyDescent="0.25">
      <c r="A118" s="3"/>
      <c r="C118" s="3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</row>
    <row r="119" spans="1:215" s="2" customFormat="1" x14ac:dyDescent="0.25">
      <c r="A119" s="3"/>
      <c r="C119" s="3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</row>
    <row r="120" spans="1:215" s="2" customFormat="1" x14ac:dyDescent="0.25">
      <c r="A120" s="3"/>
      <c r="C120" s="3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</row>
    <row r="121" spans="1:215" s="2" customFormat="1" x14ac:dyDescent="0.25">
      <c r="A121" s="3"/>
      <c r="C121" s="3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</row>
    <row r="122" spans="1:215" s="2" customFormat="1" x14ac:dyDescent="0.25">
      <c r="A122" s="3"/>
      <c r="C122" s="3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</row>
    <row r="123" spans="1:215" s="2" customFormat="1" x14ac:dyDescent="0.25">
      <c r="A123" s="3"/>
      <c r="C123" s="3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</row>
    <row r="124" spans="1:215" s="2" customFormat="1" x14ac:dyDescent="0.25">
      <c r="A124" s="3"/>
      <c r="C124" s="3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</row>
    <row r="125" spans="1:215" s="2" customFormat="1" x14ac:dyDescent="0.25">
      <c r="A125" s="3"/>
      <c r="C125" s="3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</row>
    <row r="126" spans="1:215" s="2" customFormat="1" x14ac:dyDescent="0.25">
      <c r="A126" s="3"/>
      <c r="C126" s="3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</row>
    <row r="127" spans="1:215" s="2" customFormat="1" x14ac:dyDescent="0.25">
      <c r="A127" s="3"/>
      <c r="C127" s="3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</row>
    <row r="128" spans="1:215" s="2" customFormat="1" x14ac:dyDescent="0.25">
      <c r="A128" s="3"/>
      <c r="C128" s="3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</row>
    <row r="129" spans="1:215" s="2" customFormat="1" x14ac:dyDescent="0.25">
      <c r="A129" s="3"/>
      <c r="C129" s="3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</row>
    <row r="130" spans="1:215" s="2" customFormat="1" x14ac:dyDescent="0.25">
      <c r="A130" s="3"/>
      <c r="C130" s="3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</row>
    <row r="131" spans="1:215" s="2" customFormat="1" x14ac:dyDescent="0.25">
      <c r="A131" s="3"/>
      <c r="C131" s="3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</row>
    <row r="132" spans="1:215" s="2" customFormat="1" x14ac:dyDescent="0.25">
      <c r="A132" s="3"/>
      <c r="C132" s="3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</row>
    <row r="133" spans="1:215" s="2" customFormat="1" x14ac:dyDescent="0.25">
      <c r="A133" s="3"/>
      <c r="C133" s="3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</row>
    <row r="134" spans="1:215" s="2" customFormat="1" x14ac:dyDescent="0.25">
      <c r="A134" s="3"/>
      <c r="C134" s="3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</row>
    <row r="135" spans="1:215" s="2" customFormat="1" x14ac:dyDescent="0.25">
      <c r="A135" s="3"/>
      <c r="C135" s="3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</row>
    <row r="136" spans="1:215" s="2" customFormat="1" x14ac:dyDescent="0.25">
      <c r="A136" s="3"/>
      <c r="C136" s="3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</row>
    <row r="137" spans="1:215" s="2" customFormat="1" x14ac:dyDescent="0.25">
      <c r="A137" s="3"/>
      <c r="C137" s="3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</row>
    <row r="138" spans="1:215" s="2" customFormat="1" x14ac:dyDescent="0.25">
      <c r="A138" s="3"/>
      <c r="C138" s="3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</row>
    <row r="139" spans="1:215" s="2" customFormat="1" x14ac:dyDescent="0.25">
      <c r="A139" s="3"/>
      <c r="C139" s="3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</row>
    <row r="140" spans="1:215" s="2" customFormat="1" x14ac:dyDescent="0.25">
      <c r="A140" s="3"/>
      <c r="C140" s="3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</row>
    <row r="141" spans="1:215" s="2" customFormat="1" x14ac:dyDescent="0.25">
      <c r="A141" s="3"/>
      <c r="C141" s="3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</row>
    <row r="142" spans="1:215" s="2" customFormat="1" x14ac:dyDescent="0.25">
      <c r="A142" s="3"/>
      <c r="C142" s="3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</row>
    <row r="143" spans="1:215" s="2" customFormat="1" x14ac:dyDescent="0.25">
      <c r="A143" s="3"/>
      <c r="C143" s="3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</row>
    <row r="144" spans="1:215" s="2" customFormat="1" x14ac:dyDescent="0.25">
      <c r="A144" s="3"/>
      <c r="C144" s="3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</row>
    <row r="145" spans="1:215" s="2" customFormat="1" x14ac:dyDescent="0.25">
      <c r="A145" s="3"/>
      <c r="C145" s="3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</row>
    <row r="146" spans="1:215" s="2" customFormat="1" x14ac:dyDescent="0.25">
      <c r="A146" s="3"/>
      <c r="C146" s="3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</row>
    <row r="147" spans="1:215" s="2" customFormat="1" x14ac:dyDescent="0.25">
      <c r="A147" s="3"/>
      <c r="C147" s="3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</row>
    <row r="148" spans="1:215" s="2" customFormat="1" x14ac:dyDescent="0.25">
      <c r="A148" s="3"/>
      <c r="C148" s="3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</row>
    <row r="149" spans="1:215" s="2" customFormat="1" x14ac:dyDescent="0.25">
      <c r="A149" s="3"/>
      <c r="C149" s="3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</row>
    <row r="150" spans="1:215" s="2" customFormat="1" x14ac:dyDescent="0.25">
      <c r="A150" s="3"/>
      <c r="C150" s="3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</row>
    <row r="151" spans="1:215" s="2" customFormat="1" x14ac:dyDescent="0.25">
      <c r="A151" s="3"/>
      <c r="C151" s="3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</row>
    <row r="152" spans="1:215" s="2" customFormat="1" x14ac:dyDescent="0.25">
      <c r="A152" s="3"/>
      <c r="C152" s="3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</row>
    <row r="153" spans="1:215" s="2" customFormat="1" x14ac:dyDescent="0.25">
      <c r="A153" s="3"/>
      <c r="C153" s="3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</row>
    <row r="154" spans="1:215" s="2" customFormat="1" x14ac:dyDescent="0.25">
      <c r="A154" s="3"/>
      <c r="C154" s="3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</row>
    <row r="155" spans="1:215" s="2" customFormat="1" x14ac:dyDescent="0.25">
      <c r="A155" s="3"/>
      <c r="C155" s="3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</row>
    <row r="156" spans="1:215" s="2" customFormat="1" x14ac:dyDescent="0.25">
      <c r="A156" s="3"/>
      <c r="C156" s="3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</row>
    <row r="157" spans="1:215" s="2" customFormat="1" x14ac:dyDescent="0.25">
      <c r="A157" s="3"/>
      <c r="C157" s="3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</row>
    <row r="158" spans="1:215" s="2" customFormat="1" x14ac:dyDescent="0.25">
      <c r="A158" s="3"/>
      <c r="C158" s="3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</row>
    <row r="159" spans="1:215" s="2" customFormat="1" x14ac:dyDescent="0.25">
      <c r="A159" s="3"/>
      <c r="C159" s="3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2" customFormat="1" x14ac:dyDescent="0.25">
      <c r="A160" s="3"/>
      <c r="C160" s="3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215" s="2" customFormat="1" x14ac:dyDescent="0.25">
      <c r="A161" s="3"/>
      <c r="C161" s="3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</row>
    <row r="162" spans="1:215" s="2" customFormat="1" x14ac:dyDescent="0.25">
      <c r="A162" s="3"/>
      <c r="C162" s="3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</row>
    <row r="163" spans="1:215" s="2" customFormat="1" x14ac:dyDescent="0.25">
      <c r="A163" s="3"/>
      <c r="C163" s="3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</row>
    <row r="164" spans="1:215" s="2" customFormat="1" x14ac:dyDescent="0.25">
      <c r="A164" s="3"/>
      <c r="C164" s="3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</row>
    <row r="165" spans="1:215" s="2" customFormat="1" x14ac:dyDescent="0.25">
      <c r="A165" s="3"/>
      <c r="C165" s="3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</row>
    <row r="166" spans="1:215" s="2" customFormat="1" x14ac:dyDescent="0.25">
      <c r="A166" s="3"/>
      <c r="C166" s="3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</row>
    <row r="167" spans="1:215" s="2" customFormat="1" x14ac:dyDescent="0.25">
      <c r="A167" s="3"/>
      <c r="C167" s="3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</row>
    <row r="168" spans="1:215" s="2" customFormat="1" x14ac:dyDescent="0.25">
      <c r="A168" s="3"/>
      <c r="C168" s="3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</row>
    <row r="169" spans="1:215" s="2" customFormat="1" x14ac:dyDescent="0.25">
      <c r="A169" s="3"/>
      <c r="C169" s="3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</row>
    <row r="170" spans="1:215" s="2" customFormat="1" x14ac:dyDescent="0.25">
      <c r="A170" s="3"/>
      <c r="C170" s="3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</row>
    <row r="171" spans="1:215" s="2" customFormat="1" x14ac:dyDescent="0.25">
      <c r="A171" s="3"/>
      <c r="C171" s="3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</row>
    <row r="172" spans="1:215" s="2" customFormat="1" x14ac:dyDescent="0.25">
      <c r="A172" s="3"/>
      <c r="C172" s="3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</row>
    <row r="173" spans="1:215" s="2" customFormat="1" x14ac:dyDescent="0.25">
      <c r="A173" s="3"/>
      <c r="C173" s="3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</row>
    <row r="174" spans="1:215" s="2" customFormat="1" x14ac:dyDescent="0.25">
      <c r="A174" s="3"/>
      <c r="C174" s="3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</row>
    <row r="175" spans="1:215" s="2" customFormat="1" x14ac:dyDescent="0.25">
      <c r="A175" s="3"/>
      <c r="C175" s="3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</row>
    <row r="176" spans="1:215" s="2" customFormat="1" x14ac:dyDescent="0.25">
      <c r="A176" s="3"/>
      <c r="C176" s="3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</row>
    <row r="177" spans="1:215" s="2" customFormat="1" x14ac:dyDescent="0.25">
      <c r="A177" s="3"/>
      <c r="C177" s="3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</row>
    <row r="178" spans="1:215" s="2" customFormat="1" x14ac:dyDescent="0.25">
      <c r="A178" s="3"/>
      <c r="C178" s="3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</row>
    <row r="179" spans="1:215" s="2" customFormat="1" x14ac:dyDescent="0.25">
      <c r="A179" s="3"/>
      <c r="C179" s="3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</row>
    <row r="180" spans="1:215" s="2" customFormat="1" x14ac:dyDescent="0.25">
      <c r="A180" s="3"/>
      <c r="C180" s="3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</row>
    <row r="181" spans="1:215" s="2" customFormat="1" x14ac:dyDescent="0.25">
      <c r="A181" s="3"/>
      <c r="C181" s="3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</row>
    <row r="182" spans="1:215" x14ac:dyDescent="0.25">
      <c r="D182" s="2"/>
      <c r="E182" s="2"/>
    </row>
    <row r="183" spans="1:215" x14ac:dyDescent="0.25">
      <c r="D183" s="2"/>
      <c r="E183" s="2"/>
    </row>
    <row r="184" spans="1:215" x14ac:dyDescent="0.25">
      <c r="D184" s="2"/>
      <c r="E184" s="2"/>
    </row>
    <row r="185" spans="1:215" x14ac:dyDescent="0.25">
      <c r="D185" s="2"/>
      <c r="E185" s="2"/>
    </row>
    <row r="186" spans="1:215" x14ac:dyDescent="0.25">
      <c r="D186" s="2"/>
      <c r="E186" s="2"/>
    </row>
    <row r="187" spans="1:215" x14ac:dyDescent="0.25">
      <c r="D187" s="2"/>
      <c r="E187" s="2"/>
    </row>
    <row r="188" spans="1:215" x14ac:dyDescent="0.25">
      <c r="D188" s="2"/>
      <c r="E188" s="2"/>
    </row>
    <row r="189" spans="1:215" x14ac:dyDescent="0.25">
      <c r="D189" s="2"/>
      <c r="E189" s="2"/>
    </row>
    <row r="190" spans="1:215" x14ac:dyDescent="0.25">
      <c r="D190" s="2"/>
      <c r="E190" s="2"/>
    </row>
    <row r="191" spans="1:215" x14ac:dyDescent="0.25">
      <c r="D191" s="2"/>
      <c r="E191" s="2"/>
    </row>
    <row r="192" spans="1:21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83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F823-70B0-4994-A038-873BE9D98368}">
  <dimension ref="A2:M30"/>
  <sheetViews>
    <sheetView topLeftCell="B1" workbookViewId="0">
      <selection activeCell="F10" sqref="F10:M28"/>
    </sheetView>
  </sheetViews>
  <sheetFormatPr defaultRowHeight="12.75" x14ac:dyDescent="0.2"/>
  <cols>
    <col min="1" max="1" width="13.85546875" customWidth="1"/>
  </cols>
  <sheetData>
    <row r="2" spans="1:9" x14ac:dyDescent="0.2">
      <c r="B2" t="s">
        <v>100</v>
      </c>
    </row>
    <row r="3" spans="1:9" x14ac:dyDescent="0.2">
      <c r="B3" s="71">
        <v>2025</v>
      </c>
      <c r="C3" s="71">
        <v>2026</v>
      </c>
      <c r="D3" s="71">
        <v>2027</v>
      </c>
    </row>
    <row r="4" spans="1:9" x14ac:dyDescent="0.2">
      <c r="A4" t="s">
        <v>98</v>
      </c>
      <c r="B4">
        <v>870</v>
      </c>
      <c r="C4">
        <v>980</v>
      </c>
      <c r="D4">
        <v>1091</v>
      </c>
    </row>
    <row r="5" spans="1:9" x14ac:dyDescent="0.2">
      <c r="A5" t="s">
        <v>99</v>
      </c>
      <c r="B5">
        <v>883</v>
      </c>
      <c r="C5">
        <v>1060</v>
      </c>
      <c r="D5">
        <v>1272</v>
      </c>
    </row>
    <row r="6" spans="1:9" x14ac:dyDescent="0.2">
      <c r="B6" s="71">
        <f>SUM(B4:B5)</f>
        <v>1753</v>
      </c>
      <c r="C6" s="71">
        <f t="shared" ref="C6:D6" si="0">SUM(C4:C5)</f>
        <v>2040</v>
      </c>
      <c r="D6" s="71">
        <f t="shared" si="0"/>
        <v>2363</v>
      </c>
    </row>
    <row r="7" spans="1:9" x14ac:dyDescent="0.2">
      <c r="B7" s="71" t="s">
        <v>101</v>
      </c>
      <c r="C7" s="71"/>
      <c r="D7" s="71"/>
    </row>
    <row r="8" spans="1:9" x14ac:dyDescent="0.2">
      <c r="A8" t="s">
        <v>98</v>
      </c>
      <c r="B8" s="72">
        <v>29235.046999999999</v>
      </c>
      <c r="C8" s="72">
        <v>23312.800000000003</v>
      </c>
      <c r="D8" s="72">
        <v>22727.105000000003</v>
      </c>
    </row>
    <row r="9" spans="1:9" x14ac:dyDescent="0.2">
      <c r="A9" t="s">
        <v>99</v>
      </c>
      <c r="B9" s="72">
        <v>1328.9269999999999</v>
      </c>
      <c r="C9" s="72">
        <v>1583</v>
      </c>
      <c r="D9" s="72">
        <v>1583.076</v>
      </c>
    </row>
    <row r="10" spans="1:9" x14ac:dyDescent="0.2">
      <c r="B10" s="73">
        <f>SUM(B8:B9)</f>
        <v>30563.973999999998</v>
      </c>
      <c r="C10" s="73">
        <f>SUM(C8:C9)</f>
        <v>24895.800000000003</v>
      </c>
      <c r="D10" s="73">
        <f t="shared" ref="D10" si="1">SUM(D8:D9)</f>
        <v>24310.181000000004</v>
      </c>
      <c r="G10" s="71">
        <v>2025</v>
      </c>
      <c r="H10" s="71">
        <v>2026</v>
      </c>
      <c r="I10" s="71">
        <v>2027</v>
      </c>
    </row>
    <row r="11" spans="1:9" x14ac:dyDescent="0.2">
      <c r="F11" s="74" t="s">
        <v>105</v>
      </c>
      <c r="G11" s="72">
        <f>8762.948+1069.5-20+1</f>
        <v>9813.4480000000003</v>
      </c>
      <c r="H11" s="72">
        <f>6352.253+1069.5+400-20+1+980</f>
        <v>8782.7530000000006</v>
      </c>
      <c r="I11" s="72">
        <f>7547.648+1069.5+200-20+1-104.4</f>
        <v>8693.7480000000014</v>
      </c>
    </row>
    <row r="12" spans="1:9" x14ac:dyDescent="0.2">
      <c r="A12" t="s">
        <v>98</v>
      </c>
      <c r="B12" s="72">
        <f>B4+B8</f>
        <v>30105.046999999999</v>
      </c>
      <c r="C12" s="72">
        <f>C4+C8</f>
        <v>24292.800000000003</v>
      </c>
      <c r="D12" s="72">
        <f t="shared" ref="D12" si="2">D4+D8</f>
        <v>23818.105000000003</v>
      </c>
      <c r="F12" s="74" t="s">
        <v>102</v>
      </c>
      <c r="G12" s="72">
        <v>350.5</v>
      </c>
      <c r="H12" s="72">
        <v>384.8</v>
      </c>
      <c r="I12" s="72">
        <v>399.1</v>
      </c>
    </row>
    <row r="13" spans="1:9" x14ac:dyDescent="0.2">
      <c r="A13" t="s">
        <v>99</v>
      </c>
      <c r="B13" s="72">
        <f>B5+B9</f>
        <v>2211.9269999999997</v>
      </c>
      <c r="C13" s="72">
        <f>C5+C9</f>
        <v>2643</v>
      </c>
      <c r="D13" s="72">
        <f t="shared" ref="D13" si="3">D5+D9</f>
        <v>2855.076</v>
      </c>
      <c r="F13" s="74" t="s">
        <v>109</v>
      </c>
      <c r="G13" s="72">
        <v>20</v>
      </c>
      <c r="H13" s="72">
        <v>20</v>
      </c>
      <c r="I13" s="72">
        <v>20</v>
      </c>
    </row>
    <row r="14" spans="1:9" x14ac:dyDescent="0.2">
      <c r="F14" s="74" t="s">
        <v>110</v>
      </c>
      <c r="G14" s="72">
        <v>3230.45</v>
      </c>
      <c r="H14" s="72">
        <v>2419.163</v>
      </c>
      <c r="I14" s="72">
        <v>2419.1999999999998</v>
      </c>
    </row>
    <row r="15" spans="1:9" x14ac:dyDescent="0.2">
      <c r="B15" s="73">
        <f>B12+B13</f>
        <v>32316.973999999998</v>
      </c>
      <c r="C15" s="73">
        <f t="shared" ref="C15:D15" si="4">C12+C13</f>
        <v>26935.800000000003</v>
      </c>
      <c r="D15" s="73">
        <f t="shared" si="4"/>
        <v>26673.181000000004</v>
      </c>
      <c r="F15" s="74" t="s">
        <v>103</v>
      </c>
      <c r="G15" s="72">
        <v>1167</v>
      </c>
      <c r="H15" s="72">
        <v>800</v>
      </c>
      <c r="I15" s="72">
        <v>400</v>
      </c>
    </row>
    <row r="16" spans="1:9" x14ac:dyDescent="0.2">
      <c r="F16" s="74" t="s">
        <v>106</v>
      </c>
      <c r="G16" s="72">
        <f>13299.71+2162.3</f>
        <v>15462.009999999998</v>
      </c>
      <c r="H16" s="72">
        <f>9723.789+2162.3</f>
        <v>11886.089</v>
      </c>
      <c r="I16" s="72">
        <f>H16</f>
        <v>11886.089</v>
      </c>
    </row>
    <row r="17" spans="1:13" x14ac:dyDescent="0.2">
      <c r="A17" t="s">
        <v>108</v>
      </c>
      <c r="B17" s="72">
        <f>B10</f>
        <v>30563.973999999998</v>
      </c>
      <c r="C17" s="72">
        <f>C10</f>
        <v>24895.800000000003</v>
      </c>
      <c r="D17" s="72">
        <f>D10</f>
        <v>24310.181000000004</v>
      </c>
      <c r="F17" s="74" t="s">
        <v>104</v>
      </c>
      <c r="G17" s="72">
        <v>61.6</v>
      </c>
      <c r="H17" s="72"/>
      <c r="I17" s="72"/>
      <c r="J17" s="74" t="s">
        <v>105</v>
      </c>
      <c r="K17" s="72">
        <f>G11+G22</f>
        <v>11739.175000000001</v>
      </c>
      <c r="L17" s="72">
        <f>H11+H22</f>
        <v>11425.729475</v>
      </c>
      <c r="M17">
        <f>I11+I22</f>
        <v>11548.824475000001</v>
      </c>
    </row>
    <row r="18" spans="1:13" x14ac:dyDescent="0.2">
      <c r="F18" s="74"/>
      <c r="G18" s="73">
        <f>SUM(G11:G17)</f>
        <v>30105.007999999998</v>
      </c>
      <c r="H18" s="73">
        <f>SUM(H11:H17)</f>
        <v>24292.805</v>
      </c>
      <c r="I18" s="73">
        <f>SUM(I11:I17)</f>
        <v>23818.137000000002</v>
      </c>
    </row>
    <row r="19" spans="1:13" x14ac:dyDescent="0.2">
      <c r="B19" s="72"/>
      <c r="C19" s="72"/>
      <c r="D19" s="72"/>
      <c r="G19" s="72"/>
      <c r="H19" s="72"/>
      <c r="I19" s="72"/>
    </row>
    <row r="20" spans="1:13" x14ac:dyDescent="0.2">
      <c r="G20" s="72">
        <f>B12-G18</f>
        <v>3.9000000000669388E-2</v>
      </c>
      <c r="H20" s="72">
        <f>C12-H18</f>
        <v>-4.9999999973806553E-3</v>
      </c>
      <c r="I20" s="72">
        <f>D12-I18</f>
        <v>-3.19999999992433E-2</v>
      </c>
    </row>
    <row r="21" spans="1:13" x14ac:dyDescent="0.2">
      <c r="G21" s="72"/>
      <c r="H21" s="72"/>
      <c r="I21" s="72"/>
    </row>
    <row r="22" spans="1:13" x14ac:dyDescent="0.2">
      <c r="F22" s="74" t="s">
        <v>105</v>
      </c>
      <c r="G22" s="72">
        <v>1925.7270000000001</v>
      </c>
      <c r="H22" s="72">
        <f>1582.976475+C5</f>
        <v>2642.9764749999999</v>
      </c>
      <c r="I22" s="72">
        <f>1583.076475+D5</f>
        <v>2855.0764749999998</v>
      </c>
    </row>
    <row r="23" spans="1:13" x14ac:dyDescent="0.2">
      <c r="F23" s="74" t="s">
        <v>107</v>
      </c>
      <c r="G23" s="72">
        <v>286.2</v>
      </c>
      <c r="H23" s="72"/>
      <c r="I23" s="72"/>
    </row>
    <row r="24" spans="1:13" x14ac:dyDescent="0.2">
      <c r="F24" s="74"/>
      <c r="G24" s="73">
        <f>G22+G23</f>
        <v>2211.9270000000001</v>
      </c>
      <c r="H24" s="73">
        <f t="shared" ref="H24:I24" si="5">H22+H23</f>
        <v>2642.9764749999999</v>
      </c>
      <c r="I24" s="73">
        <f t="shared" si="5"/>
        <v>2855.0764749999998</v>
      </c>
    </row>
    <row r="25" spans="1:13" x14ac:dyDescent="0.2">
      <c r="F25" s="74"/>
      <c r="G25" s="73">
        <f>B13-G24</f>
        <v>0</v>
      </c>
      <c r="H25" s="73">
        <f t="shared" ref="H25:I25" si="6">C13-H24</f>
        <v>2.3525000000063301E-2</v>
      </c>
      <c r="I25" s="73">
        <f t="shared" si="6"/>
        <v>-4.7499999982392183E-4</v>
      </c>
    </row>
    <row r="26" spans="1:13" x14ac:dyDescent="0.2">
      <c r="F26" s="74"/>
      <c r="G26" s="72">
        <f>G18+G24</f>
        <v>32316.934999999998</v>
      </c>
      <c r="H26" s="72">
        <f>H18+H24</f>
        <v>26935.781475</v>
      </c>
      <c r="I26" s="72">
        <f>I18+I24</f>
        <v>26673.213475000004</v>
      </c>
    </row>
    <row r="27" spans="1:13" x14ac:dyDescent="0.2">
      <c r="G27" s="72">
        <f>B15-G26</f>
        <v>3.9000000000669388E-2</v>
      </c>
      <c r="H27" s="72">
        <f>C15-H26</f>
        <v>1.8525000003137393E-2</v>
      </c>
      <c r="I27" s="72">
        <f>D15-I26</f>
        <v>-3.2474999999976717E-2</v>
      </c>
    </row>
    <row r="28" spans="1:13" x14ac:dyDescent="0.2">
      <c r="F28" s="74"/>
    </row>
    <row r="29" spans="1:13" x14ac:dyDescent="0.2">
      <c r="F29" s="74"/>
    </row>
    <row r="30" spans="1:13" x14ac:dyDescent="0.2">
      <c r="F30" s="7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ПРОГНОЗ КБ 2024 г.кон</vt:lpstr>
      <vt:lpstr>ПРОГНОЗ КБ 2024 г.Консол</vt:lpstr>
      <vt:lpstr>ПРОГНОЗ КБ 2024 г.кож</vt:lpstr>
      <vt:lpstr>Лист1</vt:lpstr>
      <vt:lpstr>'ПРОГНОЗ КБ 2024 г.кож'!Заголовки_для_печати</vt:lpstr>
      <vt:lpstr>'ПРОГНОЗ КБ 2024 г.кон'!Заголовки_для_печати</vt:lpstr>
      <vt:lpstr>'ПРОГНОЗ КБ 2024 г.Консол'!Заголовки_для_печати</vt:lpstr>
      <vt:lpstr>'ПРОГНОЗ КБ 2024 г.кож'!Область_печати</vt:lpstr>
      <vt:lpstr>'ПРОГНОЗ КБ 2024 г.кон'!Область_печати</vt:lpstr>
      <vt:lpstr>'ПРОГНОЗ КБ 2024 г.Консол'!Область_печати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Пользователь</cp:lastModifiedBy>
  <cp:lastPrinted>2024-11-13T07:29:57Z</cp:lastPrinted>
  <dcterms:created xsi:type="dcterms:W3CDTF">2018-10-31T11:14:18Z</dcterms:created>
  <dcterms:modified xsi:type="dcterms:W3CDTF">2024-12-09T02:21:06Z</dcterms:modified>
</cp:coreProperties>
</file>