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95" yWindow="-255" windowWidth="11010" windowHeight="8385" activeTab="1"/>
  </bookViews>
  <sheets>
    <sheet name="ПРОГНОЗ КБ 2023г." sheetId="2" r:id="rId1"/>
    <sheet name="ПРОГНОЗ КБ 2023г.кож." sheetId="3" r:id="rId2"/>
  </sheets>
  <definedNames>
    <definedName name="_xlnm.Print_Titles" localSheetId="0">'ПРОГНОЗ КБ 2023г.'!$4:$5</definedName>
    <definedName name="_xlnm.Print_Titles" localSheetId="1">'ПРОГНОЗ КБ 2023г.кож.'!$4:$5</definedName>
    <definedName name="_xlnm.Print_Area" localSheetId="0">'ПРОГНОЗ КБ 2023г.'!$A$1:$J$91</definedName>
    <definedName name="_xlnm.Print_Area" localSheetId="1">'ПРОГНОЗ КБ 2023г.кож.'!$A$1:$L$92</definedName>
  </definedNames>
  <calcPr calcId="145621"/>
</workbook>
</file>

<file path=xl/calcChain.xml><?xml version="1.0" encoding="utf-8"?>
<calcChain xmlns="http://schemas.openxmlformats.org/spreadsheetml/2006/main">
  <c r="I73" i="2" l="1"/>
  <c r="G73" i="2"/>
  <c r="E73" i="2"/>
  <c r="C73" i="2"/>
  <c r="C80" i="2"/>
  <c r="C83" i="2"/>
  <c r="C81" i="2"/>
  <c r="C77" i="2"/>
  <c r="F15" i="2" l="1"/>
  <c r="E14" i="2"/>
  <c r="B91" i="2"/>
  <c r="I77" i="2" l="1"/>
  <c r="G77" i="2"/>
  <c r="I84" i="2"/>
  <c r="I80" i="2"/>
  <c r="G84" i="2"/>
  <c r="G80" i="2"/>
  <c r="E84" i="2"/>
  <c r="E81" i="2"/>
  <c r="E80" i="2"/>
  <c r="E79" i="2"/>
  <c r="E77" i="2"/>
  <c r="D90" i="2" l="1"/>
  <c r="H88" i="2"/>
  <c r="F88" i="2"/>
  <c r="D88" i="2"/>
  <c r="H87" i="2"/>
  <c r="F87" i="2"/>
  <c r="D87" i="2"/>
  <c r="J86" i="2"/>
  <c r="H86" i="2"/>
  <c r="C86" i="2"/>
  <c r="F86" i="2" s="1"/>
  <c r="J85" i="2"/>
  <c r="H85" i="2"/>
  <c r="F85" i="2"/>
  <c r="D85" i="2"/>
  <c r="J84" i="2"/>
  <c r="H84" i="2"/>
  <c r="F84" i="2"/>
  <c r="D84" i="2"/>
  <c r="J83" i="2"/>
  <c r="H83" i="2"/>
  <c r="D83" i="2"/>
  <c r="H82" i="2"/>
  <c r="F82" i="2"/>
  <c r="D82" i="2"/>
  <c r="J81" i="2"/>
  <c r="H81" i="2"/>
  <c r="F81" i="2"/>
  <c r="D81" i="2"/>
  <c r="J80" i="2"/>
  <c r="F80" i="2"/>
  <c r="D80" i="2"/>
  <c r="J79" i="2"/>
  <c r="H79" i="2"/>
  <c r="F79" i="2"/>
  <c r="D79" i="2"/>
  <c r="F78" i="2"/>
  <c r="D78" i="2"/>
  <c r="J77" i="2"/>
  <c r="H77" i="2"/>
  <c r="F77" i="2"/>
  <c r="G74" i="3"/>
  <c r="E74" i="3"/>
  <c r="D77" i="2" l="1"/>
  <c r="F83" i="2"/>
  <c r="D86" i="2"/>
  <c r="H10" i="2" l="1"/>
  <c r="E28" i="2"/>
  <c r="E25" i="2"/>
  <c r="G58" i="2"/>
  <c r="I58" i="2"/>
  <c r="E58" i="2"/>
  <c r="C11" i="2"/>
  <c r="B56" i="2" l="1"/>
  <c r="B43" i="3"/>
  <c r="B67" i="2"/>
  <c r="B41" i="2"/>
  <c r="J69" i="2"/>
  <c r="H69" i="2"/>
  <c r="F69" i="2"/>
  <c r="F67" i="2" s="1"/>
  <c r="J68" i="2"/>
  <c r="H68" i="2"/>
  <c r="F68" i="2"/>
  <c r="D68" i="2"/>
  <c r="D67" i="2" s="1"/>
  <c r="I67" i="2"/>
  <c r="G67" i="2"/>
  <c r="E67" i="2"/>
  <c r="C67" i="2"/>
  <c r="J65" i="2"/>
  <c r="F65" i="2"/>
  <c r="D65" i="2"/>
  <c r="F64" i="2"/>
  <c r="D64" i="2"/>
  <c r="J63" i="2"/>
  <c r="H63" i="2"/>
  <c r="D63" i="2"/>
  <c r="J62" i="2"/>
  <c r="H62" i="2"/>
  <c r="F62" i="2"/>
  <c r="D62" i="2"/>
  <c r="F61" i="2"/>
  <c r="D61" i="2"/>
  <c r="J60" i="2"/>
  <c r="H60" i="2"/>
  <c r="F60" i="2"/>
  <c r="D60" i="2"/>
  <c r="H59" i="2"/>
  <c r="C59" i="2"/>
  <c r="D59" i="2" s="1"/>
  <c r="J58" i="2"/>
  <c r="C58" i="2"/>
  <c r="D58" i="2" s="1"/>
  <c r="J57" i="2"/>
  <c r="H57" i="2"/>
  <c r="C57" i="2"/>
  <c r="F57" i="2" s="1"/>
  <c r="I56" i="2"/>
  <c r="G56" i="2"/>
  <c r="E56" i="2"/>
  <c r="C50" i="2"/>
  <c r="F50" i="2" s="1"/>
  <c r="B50" i="2"/>
  <c r="B44" i="2" s="1"/>
  <c r="J49" i="2"/>
  <c r="H48" i="2"/>
  <c r="D48" i="2"/>
  <c r="C47" i="2"/>
  <c r="C44" i="2" s="1"/>
  <c r="F44" i="2" s="1"/>
  <c r="J46" i="2"/>
  <c r="H46" i="2"/>
  <c r="F46" i="2"/>
  <c r="D46" i="2"/>
  <c r="J45" i="2"/>
  <c r="I44" i="2"/>
  <c r="G44" i="2"/>
  <c r="J44" i="2" s="1"/>
  <c r="E44" i="2"/>
  <c r="J43" i="2"/>
  <c r="H43" i="2"/>
  <c r="C43" i="2"/>
  <c r="F43" i="2" s="1"/>
  <c r="J42" i="2"/>
  <c r="H42" i="2"/>
  <c r="C42" i="2"/>
  <c r="F42" i="2" s="1"/>
  <c r="I41" i="2"/>
  <c r="J41" i="2" s="1"/>
  <c r="G41" i="2"/>
  <c r="E41" i="2"/>
  <c r="B8" i="2"/>
  <c r="C73" i="3"/>
  <c r="F59" i="2" l="1"/>
  <c r="C56" i="2"/>
  <c r="F58" i="2"/>
  <c r="C41" i="2"/>
  <c r="F41" i="2" s="1"/>
  <c r="H67" i="2"/>
  <c r="D43" i="2"/>
  <c r="H44" i="2"/>
  <c r="G39" i="2"/>
  <c r="G38" i="2" s="1"/>
  <c r="H41" i="2"/>
  <c r="I39" i="2"/>
  <c r="I38" i="2" s="1"/>
  <c r="E39" i="2"/>
  <c r="E38" i="2" s="1"/>
  <c r="H56" i="2"/>
  <c r="J67" i="2"/>
  <c r="D56" i="2"/>
  <c r="J56" i="2"/>
  <c r="F56" i="2"/>
  <c r="B39" i="2"/>
  <c r="B38" i="2" s="1"/>
  <c r="D50" i="2"/>
  <c r="D42" i="2"/>
  <c r="D57" i="2"/>
  <c r="D44" i="2"/>
  <c r="J48" i="3"/>
  <c r="D41" i="2" l="1"/>
  <c r="C39" i="2"/>
  <c r="C38" i="2" s="1"/>
  <c r="J32" i="3"/>
  <c r="J22" i="3"/>
  <c r="H59" i="3" l="1"/>
  <c r="C43" i="3"/>
  <c r="C38" i="3" s="1"/>
  <c r="C49" i="3"/>
  <c r="D49" i="3" s="1"/>
  <c r="E43" i="3"/>
  <c r="F27" i="3" l="1"/>
  <c r="C86" i="3" l="1"/>
  <c r="C83" i="3"/>
  <c r="C77" i="3"/>
  <c r="C57" i="3"/>
  <c r="C46" i="3"/>
  <c r="C58" i="3"/>
  <c r="C56" i="3"/>
  <c r="C42" i="3"/>
  <c r="C41" i="3"/>
  <c r="B55" i="3" l="1"/>
  <c r="B66" i="3"/>
  <c r="B49" i="3"/>
  <c r="C14" i="3" l="1"/>
  <c r="B14" i="3"/>
  <c r="I91" i="2" l="1"/>
  <c r="G91" i="2"/>
  <c r="J91" i="2" l="1"/>
  <c r="H22" i="2"/>
  <c r="J15" i="2"/>
  <c r="H18" i="2"/>
  <c r="H17" i="2"/>
  <c r="H15" i="2"/>
  <c r="G14" i="2"/>
  <c r="E91" i="2" l="1"/>
  <c r="H91" i="2" s="1"/>
  <c r="C91" i="2"/>
  <c r="E24" i="2"/>
  <c r="E19" i="2"/>
  <c r="E11" i="2"/>
  <c r="F91" i="2" l="1"/>
  <c r="C14" i="2"/>
  <c r="F14" i="2" s="1"/>
  <c r="D91" i="2" l="1"/>
  <c r="J67" i="3" l="1"/>
  <c r="H67" i="3"/>
  <c r="F67" i="3"/>
  <c r="J68" i="3"/>
  <c r="H68" i="3"/>
  <c r="F68" i="3"/>
  <c r="J58" i="3"/>
  <c r="H58" i="3"/>
  <c r="J47" i="3"/>
  <c r="H47" i="3"/>
  <c r="F47" i="3"/>
  <c r="D47" i="3"/>
  <c r="J45" i="3"/>
  <c r="H45" i="3"/>
  <c r="F45" i="3"/>
  <c r="D45" i="3"/>
  <c r="J44" i="3"/>
  <c r="F41" i="3"/>
  <c r="J18" i="3"/>
  <c r="H18" i="3"/>
  <c r="D17" i="3"/>
  <c r="I55" i="3"/>
  <c r="G55" i="3"/>
  <c r="J62" i="3"/>
  <c r="H62" i="3"/>
  <c r="I43" i="3"/>
  <c r="G43" i="3"/>
  <c r="E55" i="3"/>
  <c r="E38" i="3" s="1"/>
  <c r="J66" i="3" l="1"/>
  <c r="I66" i="3"/>
  <c r="H66" i="3"/>
  <c r="G66" i="3"/>
  <c r="F66" i="3"/>
  <c r="E66" i="3"/>
  <c r="C66" i="3"/>
  <c r="C55" i="3"/>
  <c r="F18" i="3"/>
  <c r="D67" i="3" l="1"/>
  <c r="D66" i="3" s="1"/>
  <c r="D62" i="3"/>
  <c r="D58" i="3"/>
  <c r="E8" i="3" l="1"/>
  <c r="I14" i="2" l="1"/>
  <c r="H43" i="3"/>
  <c r="F49" i="3"/>
  <c r="I14" i="3"/>
  <c r="G14" i="3"/>
  <c r="F58" i="3"/>
  <c r="F62" i="3"/>
  <c r="E14" i="3"/>
  <c r="C28" i="3"/>
  <c r="C28" i="2"/>
  <c r="B8" i="3"/>
  <c r="F32" i="2" l="1"/>
  <c r="C8" i="3" l="1"/>
  <c r="D77" i="3" l="1"/>
  <c r="F80" i="3"/>
  <c r="E28" i="3"/>
  <c r="F28" i="3" s="1"/>
  <c r="J90" i="3"/>
  <c r="H90" i="3"/>
  <c r="D90" i="3"/>
  <c r="F90" i="3"/>
  <c r="B11" i="3"/>
  <c r="C92" i="3"/>
  <c r="B92" i="3"/>
  <c r="H88" i="3"/>
  <c r="F88" i="3"/>
  <c r="D88" i="3"/>
  <c r="H87" i="3"/>
  <c r="F87" i="3"/>
  <c r="D87" i="3"/>
  <c r="J86" i="3"/>
  <c r="H86" i="3"/>
  <c r="F86" i="3"/>
  <c r="D86" i="3"/>
  <c r="J85" i="3"/>
  <c r="H85" i="3"/>
  <c r="F85" i="3"/>
  <c r="D85" i="3"/>
  <c r="J84" i="3"/>
  <c r="H84" i="3"/>
  <c r="F84" i="3"/>
  <c r="D84" i="3"/>
  <c r="J83" i="3"/>
  <c r="H83" i="3"/>
  <c r="F83" i="3"/>
  <c r="D83" i="3"/>
  <c r="H82" i="3"/>
  <c r="F82" i="3"/>
  <c r="D82" i="3"/>
  <c r="J81" i="3"/>
  <c r="H81" i="3"/>
  <c r="F81" i="3"/>
  <c r="D81" i="3"/>
  <c r="J80" i="3"/>
  <c r="D80" i="3"/>
  <c r="J79" i="3"/>
  <c r="H79" i="3"/>
  <c r="F79" i="3"/>
  <c r="D79" i="3"/>
  <c r="F78" i="3"/>
  <c r="D78" i="3"/>
  <c r="I92" i="3"/>
  <c r="H77" i="3"/>
  <c r="E92" i="3"/>
  <c r="J64" i="3"/>
  <c r="F64" i="3"/>
  <c r="D64" i="3"/>
  <c r="F63" i="3"/>
  <c r="D63" i="3"/>
  <c r="J61" i="3"/>
  <c r="H61" i="3"/>
  <c r="F61" i="3"/>
  <c r="D61" i="3"/>
  <c r="J60" i="3"/>
  <c r="H60" i="3"/>
  <c r="F60" i="3"/>
  <c r="D60" i="3"/>
  <c r="J59" i="3"/>
  <c r="F59" i="3"/>
  <c r="D59" i="3"/>
  <c r="J57" i="3"/>
  <c r="F57" i="3"/>
  <c r="J56" i="3"/>
  <c r="H56" i="3"/>
  <c r="F56" i="3"/>
  <c r="D56" i="3"/>
  <c r="J49" i="3"/>
  <c r="J42" i="3"/>
  <c r="H42" i="3"/>
  <c r="F42" i="3"/>
  <c r="D42" i="3"/>
  <c r="J41" i="3"/>
  <c r="H41" i="3"/>
  <c r="D41" i="3"/>
  <c r="I40" i="3"/>
  <c r="I38" i="3" s="1"/>
  <c r="G40" i="3"/>
  <c r="G38" i="3" s="1"/>
  <c r="E40" i="3"/>
  <c r="E37" i="3" s="1"/>
  <c r="C40" i="3"/>
  <c r="C37" i="3" s="1"/>
  <c r="B40" i="3"/>
  <c r="B38" i="3" s="1"/>
  <c r="J31" i="3"/>
  <c r="H31" i="3"/>
  <c r="F31" i="3"/>
  <c r="D31" i="3"/>
  <c r="J30" i="3"/>
  <c r="H30" i="3"/>
  <c r="F30" i="3"/>
  <c r="D30" i="3"/>
  <c r="J29" i="3"/>
  <c r="H29" i="3"/>
  <c r="F29" i="3"/>
  <c r="D29" i="3"/>
  <c r="I28" i="3"/>
  <c r="G28" i="3"/>
  <c r="H28" i="3" s="1"/>
  <c r="B28" i="3"/>
  <c r="J27" i="3"/>
  <c r="H27" i="3"/>
  <c r="J26" i="3"/>
  <c r="H26" i="3"/>
  <c r="F26" i="3"/>
  <c r="D26" i="3"/>
  <c r="I25" i="3"/>
  <c r="G25" i="3"/>
  <c r="E25" i="3"/>
  <c r="C25" i="3"/>
  <c r="C24" i="3" s="1"/>
  <c r="B25" i="3"/>
  <c r="J23" i="3"/>
  <c r="H23" i="3"/>
  <c r="F23" i="3"/>
  <c r="D23" i="3"/>
  <c r="J21" i="3"/>
  <c r="H21" i="3"/>
  <c r="F21" i="3"/>
  <c r="D21" i="3"/>
  <c r="I19" i="3"/>
  <c r="G19" i="3"/>
  <c r="E19" i="3"/>
  <c r="C19" i="3"/>
  <c r="B19" i="3"/>
  <c r="J17" i="3"/>
  <c r="H17" i="3"/>
  <c r="F17" i="3"/>
  <c r="J16" i="3"/>
  <c r="H16" i="3"/>
  <c r="F16" i="3"/>
  <c r="D16" i="3"/>
  <c r="D15" i="3"/>
  <c r="J12" i="3"/>
  <c r="H12" i="3"/>
  <c r="F12" i="3"/>
  <c r="D12" i="3"/>
  <c r="I11" i="3"/>
  <c r="G11" i="3"/>
  <c r="E11" i="3"/>
  <c r="C11" i="3"/>
  <c r="J10" i="3"/>
  <c r="F10" i="3"/>
  <c r="D10" i="3"/>
  <c r="I8" i="3"/>
  <c r="G8" i="3"/>
  <c r="E24" i="3" l="1"/>
  <c r="H14" i="3"/>
  <c r="J14" i="3"/>
  <c r="H8" i="3"/>
  <c r="G7" i="3"/>
  <c r="J11" i="3"/>
  <c r="H55" i="3"/>
  <c r="B7" i="3"/>
  <c r="B24" i="3"/>
  <c r="H11" i="3"/>
  <c r="D25" i="3"/>
  <c r="H25" i="3"/>
  <c r="J28" i="3"/>
  <c r="H40" i="3"/>
  <c r="G37" i="3"/>
  <c r="J40" i="3"/>
  <c r="I24" i="3"/>
  <c r="E7" i="3"/>
  <c r="F11" i="3"/>
  <c r="F19" i="3"/>
  <c r="F14" i="3"/>
  <c r="F40" i="3"/>
  <c r="D11" i="3"/>
  <c r="D40" i="3"/>
  <c r="D14" i="3"/>
  <c r="D28" i="3"/>
  <c r="I7" i="3"/>
  <c r="J19" i="3"/>
  <c r="H19" i="3"/>
  <c r="F92" i="3"/>
  <c r="D19" i="3"/>
  <c r="D8" i="3"/>
  <c r="J43" i="3"/>
  <c r="C7" i="3"/>
  <c r="F8" i="3"/>
  <c r="J8" i="3"/>
  <c r="G24" i="3"/>
  <c r="F25" i="3"/>
  <c r="J25" i="3"/>
  <c r="F77" i="3"/>
  <c r="J77" i="3"/>
  <c r="G92" i="3"/>
  <c r="H92" i="3" s="1"/>
  <c r="D43" i="3"/>
  <c r="F55" i="3"/>
  <c r="J55" i="3"/>
  <c r="E33" i="3" l="1"/>
  <c r="E71" i="3" s="1"/>
  <c r="E73" i="3" s="1"/>
  <c r="H24" i="3"/>
  <c r="G33" i="3"/>
  <c r="H38" i="3"/>
  <c r="B33" i="3"/>
  <c r="D24" i="3"/>
  <c r="I33" i="3"/>
  <c r="F24" i="3"/>
  <c r="J24" i="3"/>
  <c r="F7" i="3"/>
  <c r="J38" i="3"/>
  <c r="I37" i="3"/>
  <c r="J37" i="3" s="1"/>
  <c r="H7" i="3"/>
  <c r="J7" i="3"/>
  <c r="C33" i="3"/>
  <c r="D7" i="3"/>
  <c r="J92" i="3"/>
  <c r="F33" i="3" l="1"/>
  <c r="C71" i="3"/>
  <c r="H33" i="3"/>
  <c r="G71" i="3"/>
  <c r="J33" i="3"/>
  <c r="D33" i="3"/>
  <c r="I71" i="3"/>
  <c r="I74" i="3" s="1"/>
  <c r="J71" i="3" l="1"/>
  <c r="I73" i="3"/>
  <c r="G73" i="3"/>
  <c r="C74" i="3"/>
  <c r="J32" i="2" l="1"/>
  <c r="B19" i="2" l="1"/>
  <c r="I8" i="2" l="1"/>
  <c r="I28" i="2"/>
  <c r="I25" i="2"/>
  <c r="I19" i="2"/>
  <c r="I11" i="2"/>
  <c r="G28" i="2"/>
  <c r="G25" i="2"/>
  <c r="G19" i="2"/>
  <c r="G11" i="2"/>
  <c r="G8" i="2"/>
  <c r="J31" i="2"/>
  <c r="J30" i="2"/>
  <c r="J29" i="2"/>
  <c r="J27" i="2"/>
  <c r="J26" i="2"/>
  <c r="J23" i="2"/>
  <c r="J22" i="2"/>
  <c r="J21" i="2"/>
  <c r="J20" i="2"/>
  <c r="J18" i="2"/>
  <c r="J17" i="2"/>
  <c r="J12" i="2"/>
  <c r="J10" i="2"/>
  <c r="H32" i="2"/>
  <c r="H31" i="2"/>
  <c r="H30" i="2"/>
  <c r="H29" i="2"/>
  <c r="H27" i="2"/>
  <c r="H26" i="2"/>
  <c r="H23" i="2"/>
  <c r="H21" i="2"/>
  <c r="H12" i="2"/>
  <c r="F12" i="2"/>
  <c r="F17" i="2"/>
  <c r="F18" i="2"/>
  <c r="F20" i="2"/>
  <c r="F21" i="2"/>
  <c r="F22" i="2"/>
  <c r="F23" i="2"/>
  <c r="F26" i="2"/>
  <c r="F27" i="2"/>
  <c r="F28" i="2"/>
  <c r="F29" i="2"/>
  <c r="F30" i="2"/>
  <c r="F31" i="2"/>
  <c r="F10" i="2"/>
  <c r="E8" i="2"/>
  <c r="D26" i="2"/>
  <c r="D12" i="2"/>
  <c r="D32" i="2"/>
  <c r="D31" i="2"/>
  <c r="D30" i="2"/>
  <c r="D29" i="2"/>
  <c r="D23" i="2"/>
  <c r="D22" i="2"/>
  <c r="D21" i="2"/>
  <c r="D20" i="2"/>
  <c r="D18" i="2"/>
  <c r="D17" i="2"/>
  <c r="D16" i="2"/>
  <c r="D10" i="2"/>
  <c r="B28" i="2"/>
  <c r="D28" i="2" s="1"/>
  <c r="H14" i="2" l="1"/>
  <c r="I24" i="2"/>
  <c r="G24" i="2"/>
  <c r="I7" i="2"/>
  <c r="J14" i="2"/>
  <c r="G7" i="2"/>
  <c r="H25" i="2"/>
  <c r="H11" i="2"/>
  <c r="H19" i="2"/>
  <c r="E7" i="2"/>
  <c r="E33" i="2" s="1"/>
  <c r="E71" i="2" s="1"/>
  <c r="H28" i="2"/>
  <c r="J28" i="2"/>
  <c r="J19" i="2"/>
  <c r="J8" i="2"/>
  <c r="H8" i="2"/>
  <c r="J11" i="2"/>
  <c r="J25" i="2"/>
  <c r="I33" i="2" l="1"/>
  <c r="J7" i="2"/>
  <c r="J24" i="2"/>
  <c r="G33" i="2"/>
  <c r="H24" i="2"/>
  <c r="J39" i="2"/>
  <c r="J38" i="2"/>
  <c r="H39" i="2"/>
  <c r="H7" i="2"/>
  <c r="G71" i="2" l="1"/>
  <c r="I71" i="2"/>
  <c r="J33" i="2"/>
  <c r="H33" i="2"/>
  <c r="H38" i="2"/>
  <c r="J71" i="2" l="1"/>
  <c r="H71" i="2"/>
  <c r="B25" i="2"/>
  <c r="B14" i="2"/>
  <c r="B11" i="2"/>
  <c r="C8" i="2"/>
  <c r="F8" i="2" s="1"/>
  <c r="C19" i="2"/>
  <c r="F19" i="2" s="1"/>
  <c r="F11" i="2"/>
  <c r="C25" i="2"/>
  <c r="B7" i="2" l="1"/>
  <c r="D8" i="2"/>
  <c r="C24" i="2"/>
  <c r="F24" i="2" s="1"/>
  <c r="F25" i="2"/>
  <c r="D19" i="2"/>
  <c r="D14" i="2"/>
  <c r="D11" i="2"/>
  <c r="B24" i="2"/>
  <c r="D25" i="2"/>
  <c r="C7" i="2"/>
  <c r="B33" i="2" l="1"/>
  <c r="B71" i="2" s="1"/>
  <c r="C33" i="2"/>
  <c r="F33" i="2" s="1"/>
  <c r="D24" i="2"/>
  <c r="F7" i="2"/>
  <c r="D7" i="2"/>
  <c r="D39" i="2"/>
  <c r="F39" i="2"/>
  <c r="B73" i="2" l="1"/>
  <c r="C34" i="2" s="1"/>
  <c r="B74" i="2"/>
  <c r="C71" i="2"/>
  <c r="D33" i="2"/>
  <c r="D38" i="2"/>
  <c r="F38" i="2"/>
  <c r="D71" i="2" l="1"/>
  <c r="F71" i="2" s="1"/>
  <c r="F43" i="3" l="1"/>
  <c r="F38" i="3" l="1"/>
  <c r="H71" i="3"/>
  <c r="F71" i="3"/>
  <c r="H37" i="3"/>
  <c r="F37" i="3"/>
  <c r="D57" i="3" l="1"/>
  <c r="D38" i="3" l="1"/>
  <c r="B37" i="3"/>
  <c r="D55" i="3"/>
  <c r="D37" i="3" l="1"/>
  <c r="B71" i="3"/>
  <c r="B73" i="3" s="1"/>
  <c r="D71" i="3" l="1"/>
  <c r="B74" i="3"/>
</calcChain>
</file>

<file path=xl/sharedStrings.xml><?xml version="1.0" encoding="utf-8"?>
<sst xmlns="http://schemas.openxmlformats.org/spreadsheetml/2006/main" count="193" uniqueCount="98">
  <si>
    <t>ВСЕГО РАСХОДОВ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</si>
  <si>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</si>
  <si>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</si>
  <si>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</si>
  <si>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</si>
  <si>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>ОБРАЗОВАНИЕ</t>
  </si>
  <si>
    <t>ОХРАНА ОКРУЖАЮЩЕЙ СРЕДЫ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</si>
  <si>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</si>
  <si>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</si>
  <si>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</si>
  <si>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</si>
  <si>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</si>
  <si>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</si>
  <si>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</si>
  <si>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</si>
  <si>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</si>
  <si>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>ПРОЧИЕ БЕЗВОЗМЕЗДНЫЕ ПОСТУПЛЕНИЯ ОТ ДРУГИХ БЮДЖЕТОВ БЮДЖЕТНОЙ СИСТЕМЫ</t>
  </si>
  <si>
    <t>БЕЗВОЗМЕЗДНЫЕ ПОСТУПЛЕНИЯ ОТ ГОС. КОРПОРАЦИЙ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</si>
  <si>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</si>
  <si>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</si>
  <si>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</si>
  <si>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</si>
  <si>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</si>
  <si>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</si>
  <si>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</si>
  <si>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</si>
  <si>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</si>
  <si>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</si>
  <si>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</si>
  <si>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</si>
  <si>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</si>
  <si>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</si>
  <si>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</si>
  <si>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Доходы от использования имущества</t>
  </si>
  <si>
    <t xml:space="preserve">  НЕНАЛОГОВЫЕ ДОХОДЫ</t>
  </si>
  <si>
    <t xml:space="preserve"> Государственная пошлина</t>
  </si>
  <si>
    <t>Земельный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</si>
  <si>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</si>
  <si>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</si>
  <si>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</si>
  <si>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</si>
  <si>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</si>
  <si>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</si>
  <si>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</si>
  <si>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</si>
  <si>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</si>
  <si>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</si>
  <si>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</si>
  <si>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</si>
  <si>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</si>
  <si>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</si>
  <si>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</si>
  <si>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</si>
  <si>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 xml:space="preserve"> ПОКАЗАТЕЛИ </t>
  </si>
  <si>
    <t>(тыс. рублей)</t>
  </si>
  <si>
    <t>ПРОГНОЗ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</si>
  <si>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</si>
  <si>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</si>
  <si>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</si>
  <si>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</si>
  <si>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аренды имущества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</si>
  <si>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</si>
  <si>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</si>
  <si>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>ОСТАТОК НА НАЧАЛО ГОДА</t>
  </si>
  <si>
    <t>% роста к 2022 г.</t>
  </si>
  <si>
    <t>Прогноз бюджета на 2024 год</t>
  </si>
  <si>
    <t>% роста к 2023 г.</t>
  </si>
  <si>
    <t>Иные межбюджетные трансферты</t>
  </si>
  <si>
    <t>Прогноз бюджета на 2025 год</t>
  </si>
  <si>
    <t>% роста к 2024 г.</t>
  </si>
  <si>
    <t>КОНСОЛИДИРОВАННОГО БЮДЖЕТА ТЕРЕ-ХОЛЬСКОГО КОЖУУНА РЕСПУБЛИКИ ТЫВА НА 2024 ГОД И НА ПЛАНОВЫЙ ПЕРИОД 2025 И 2026 ГОДОВ ПО КЛАССИФИКАЦИИ ДОХОДОВ  И ФУНКЦИОНАЛЬНОЙ КЛАССИФИКАЦИИ РАСХОДОВ БЮДЖЕТА</t>
  </si>
  <si>
    <t>КОЖУУННОГО БЮДЖЕТА ТЕРЕ-ХОЛЬСКОГО КОЖУУНА РЕСПУБЛИКИ ТЫВА НА 2024 ГОД И НА ПЛАНОВЫЙ ПЕРИОД 2025 И 2026 ГОДОВ ПО КЛАССИФИКАЦИИ ДОХОДОВ  И ФУНКЦИОНАЛЬНОЙ КЛАССИФИКАЦИИ РАСХОДОВ БЮДЖЕТА</t>
  </si>
  <si>
    <t>Отчет 2022 год</t>
  </si>
  <si>
    <t>Уточненный план 2023 год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</si>
  <si>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</si>
  <si>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</si>
  <si>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  на реализацию программ формирование современной городской среды</t>
  </si>
  <si>
    <t>Прочие субсидии в том числе:</t>
  </si>
  <si>
    <t>Субсидии местным бюджетам на соофинансирование расходов по содержанию имущества образовательных учреждений.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</si>
  <si>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</si>
  <si>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осуществление расходов на реализации мериприятий личщих народных инициатив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</si>
  <si>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</si>
  <si>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</si>
  <si>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</si>
  <si>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Субвенции на оплату жилищно-коммунальных услуг отдельным категориям граждан</t>
  </si>
  <si>
    <t>Выплаты ежемесячных пособий на первого ребенка рожденного с 1 января 2018 г. в соответствии с Федеральным законом от 28.12.2017 №418-ФЗ "О ежемесячных выплатах семьям, имеющим детей"</t>
  </si>
  <si>
    <t>Осуществление первичного воинского учета на территориях, где отсутствуют военные комиссариаты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</si>
  <si>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</si>
  <si>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</si>
  <si>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</si>
  <si>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</si>
  <si>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ОБСЛУЖИВАНИЕ ГОСУДАРСТВЕННОГО (МУНИЦИПАЛЬНОГО) ДОЛГА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</si>
  <si>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</si>
  <si>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подготовку проектов межевания земельных участков и на проведение кадастровых работ</t>
  </si>
  <si>
    <t>Прогноз бюджета на 2026 год</t>
  </si>
  <si>
    <t>% роста к 2025 г.</t>
  </si>
  <si>
    <t xml:space="preserve">Субсидий на строительство жилья, предоставляемого по договору найма жилого помещения, в рамках реализации государственной программы "Комплексное развитие сельских территорий" </t>
  </si>
  <si>
    <t>Субсидий местным бюджетам на софинансирование расходов по содержанию имущества образовательных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</si>
</sst>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_ ;[Red]\-#,##0.0\ "/>
    <numFmt numFmtId="165" formatCode="#,##0.0"/>
    <numFmt numFmtId="166" formatCode="&quot;Да&quot;;&quot;Да&quot;;&quot;Нет&quot;"/>
    <numFmt numFmtId="167" formatCode="_(* #,##0.00_);_(* \(#,##0.00\);_(* &quot;-&quot;??_);_(@_)"/>
    <numFmt numFmtId="168" formatCode="#,##0.00_ ;[Red]\-#,##0.00\ "/>
    <numFmt numFmtId="169" formatCode="#,##0.0000"/>
    <numFmt numFmtId="170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131">
    <xf numFmtId="0" fontId="0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15" fillId="0" borderId="0"/>
    <xf numFmtId="43" fontId="5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center" wrapText="1"/>
    </xf>
    <xf numFmtId="0" fontId="4" fillId="0" borderId="0" xfId="1" applyFont="1" applyFill="1" applyAlignment="1">
      <alignment vertical="top"/>
    </xf>
    <xf numFmtId="164" fontId="4" fillId="0" borderId="0" xfId="1" applyNumberFormat="1" applyFont="1" applyFill="1" applyAlignment="1">
      <alignment vertical="center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Alignment="1">
      <alignment vertical="center" wrapText="1"/>
    </xf>
    <xf numFmtId="165" fontId="3" fillId="0" borderId="0" xfId="1" applyNumberFormat="1" applyFont="1" applyFill="1" applyAlignment="1">
      <alignment vertical="top"/>
    </xf>
    <xf numFmtId="164" fontId="6" fillId="0" borderId="0" xfId="1" applyNumberFormat="1" applyFont="1" applyFill="1" applyAlignment="1">
      <alignment vertical="center" wrapText="1"/>
    </xf>
    <xf numFmtId="0" fontId="6" fillId="0" borderId="0" xfId="1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0" fontId="7" fillId="0" borderId="0" xfId="2" applyFont="1" applyBorder="1" applyAlignment="1"/>
    <xf numFmtId="164" fontId="3" fillId="0" borderId="0" xfId="0" applyNumberFormat="1" applyFont="1" applyFill="1" applyBorder="1" applyAlignment="1">
      <alignment vertical="center" wrapText="1"/>
    </xf>
    <xf numFmtId="0" fontId="3" fillId="0" borderId="0" xfId="1" applyFont="1" applyFill="1" applyAlignment="1"/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65" fontId="3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Alignment="1">
      <alignment horizontal="right" vertical="top"/>
    </xf>
    <xf numFmtId="165" fontId="13" fillId="0" borderId="0" xfId="1" applyNumberFormat="1" applyFont="1" applyFill="1" applyAlignment="1">
      <alignment horizontal="right" vertical="top" wrapText="1"/>
    </xf>
    <xf numFmtId="165" fontId="6" fillId="0" borderId="0" xfId="1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center" wrapText="1"/>
    </xf>
    <xf numFmtId="165" fontId="3" fillId="0" borderId="0" xfId="0" applyNumberFormat="1" applyFont="1" applyFill="1"/>
    <xf numFmtId="4" fontId="4" fillId="0" borderId="0" xfId="0" applyNumberFormat="1" applyFont="1" applyFill="1" applyBorder="1" applyAlignment="1">
      <alignment horizontal="right"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4" fontId="3" fillId="0" borderId="0" xfId="1" applyNumberFormat="1" applyFont="1" applyFill="1" applyAlignment="1">
      <alignment horizontal="right" vertical="top"/>
    </xf>
    <xf numFmtId="4" fontId="13" fillId="0" borderId="0" xfId="1" applyNumberFormat="1" applyFont="1" applyFill="1" applyAlignment="1">
      <alignment horizontal="right" vertical="top" wrapText="1"/>
    </xf>
    <xf numFmtId="168" fontId="4" fillId="0" borderId="0" xfId="0" applyNumberFormat="1" applyFont="1" applyFill="1" applyAlignment="1">
      <alignment horizontal="right" vertical="top"/>
    </xf>
    <xf numFmtId="164" fontId="14" fillId="0" borderId="0" xfId="0" applyNumberFormat="1" applyFont="1" applyFill="1" applyAlignment="1">
      <alignment vertical="center" wrapText="1"/>
    </xf>
    <xf numFmtId="165" fontId="14" fillId="0" borderId="0" xfId="0" applyNumberFormat="1" applyFont="1" applyFill="1" applyAlignment="1">
      <alignment horizontal="right" vertical="top"/>
    </xf>
    <xf numFmtId="165" fontId="3" fillId="12" borderId="0" xfId="1" applyNumberFormat="1" applyFont="1" applyFill="1" applyAlignment="1">
      <alignment horizontal="right" vertical="top"/>
    </xf>
    <xf numFmtId="165" fontId="3" fillId="12" borderId="0" xfId="0" applyNumberFormat="1" applyFont="1" applyFill="1" applyAlignment="1">
      <alignment horizontal="center" vertical="center"/>
    </xf>
    <xf numFmtId="165" fontId="4" fillId="12" borderId="0" xfId="0" applyNumberFormat="1" applyFont="1" applyFill="1" applyAlignment="1">
      <alignment horizontal="right" vertical="top"/>
    </xf>
    <xf numFmtId="165" fontId="3" fillId="12" borderId="0" xfId="0" applyNumberFormat="1" applyFont="1" applyFill="1" applyAlignment="1">
      <alignment horizontal="right" vertical="top"/>
    </xf>
    <xf numFmtId="165" fontId="4" fillId="12" borderId="0" xfId="1" applyNumberFormat="1" applyFont="1" applyFill="1" applyAlignment="1">
      <alignment horizontal="right" vertical="top"/>
    </xf>
    <xf numFmtId="164" fontId="3" fillId="12" borderId="0" xfId="0" applyNumberFormat="1" applyFont="1" applyFill="1" applyAlignment="1">
      <alignment horizontal="right" vertical="top"/>
    </xf>
    <xf numFmtId="164" fontId="4" fillId="12" borderId="0" xfId="0" applyNumberFormat="1" applyFont="1" applyFill="1" applyAlignment="1">
      <alignment horizontal="right" vertical="top"/>
    </xf>
    <xf numFmtId="165" fontId="3" fillId="13" borderId="0" xfId="0" applyNumberFormat="1" applyFont="1" applyFill="1" applyAlignment="1">
      <alignment horizontal="center" vertical="center"/>
    </xf>
    <xf numFmtId="165" fontId="4" fillId="13" borderId="0" xfId="0" applyNumberFormat="1" applyFont="1" applyFill="1" applyAlignment="1">
      <alignment horizontal="right" vertical="top"/>
    </xf>
    <xf numFmtId="165" fontId="3" fillId="13" borderId="0" xfId="0" applyNumberFormat="1" applyFont="1" applyFill="1" applyAlignment="1">
      <alignment horizontal="right" vertical="top"/>
    </xf>
    <xf numFmtId="165" fontId="14" fillId="13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vertical="top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2" fontId="16" fillId="11" borderId="0" xfId="128" applyNumberFormat="1" applyFont="1" applyFill="1" applyBorder="1" applyAlignment="1">
      <alignment horizontal="center" vertical="center"/>
    </xf>
    <xf numFmtId="2" fontId="17" fillId="11" borderId="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2" fontId="17" fillId="11" borderId="0" xfId="128" applyNumberFormat="1" applyFont="1" applyFill="1" applyBorder="1" applyAlignment="1">
      <alignment horizontal="center" vertical="center"/>
    </xf>
    <xf numFmtId="2" fontId="17" fillId="0" borderId="0" xfId="1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wrapText="1"/>
    </xf>
    <xf numFmtId="0" fontId="19" fillId="11" borderId="0" xfId="0" applyFont="1" applyFill="1" applyBorder="1" applyAlignment="1">
      <alignment vertical="top" wrapText="1"/>
    </xf>
    <xf numFmtId="0" fontId="18" fillId="0" borderId="0" xfId="0" applyFont="1" applyAlignment="1">
      <alignment wrapText="1"/>
    </xf>
    <xf numFmtId="49" fontId="17" fillId="0" borderId="0" xfId="0" applyNumberFormat="1" applyFont="1" applyAlignment="1">
      <alignment wrapText="1"/>
    </xf>
    <xf numFmtId="0" fontId="17" fillId="11" borderId="0" xfId="0" applyNumberFormat="1" applyFont="1" applyFill="1" applyBorder="1" applyAlignment="1">
      <alignment horizontal="left" vertical="center" wrapText="1"/>
    </xf>
    <xf numFmtId="0" fontId="16" fillId="11" borderId="0" xfId="10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2" fontId="20" fillId="11" borderId="0" xfId="128" applyNumberFormat="1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165" fontId="3" fillId="14" borderId="0" xfId="0" applyNumberFormat="1" applyFont="1" applyFill="1" applyAlignment="1">
      <alignment horizontal="center" vertical="center"/>
    </xf>
    <xf numFmtId="165" fontId="4" fillId="14" borderId="0" xfId="0" applyNumberFormat="1" applyFont="1" applyFill="1" applyBorder="1" applyAlignment="1">
      <alignment horizontal="right" vertical="top"/>
    </xf>
    <xf numFmtId="165" fontId="4" fillId="14" borderId="0" xfId="0" applyNumberFormat="1" applyFont="1" applyFill="1" applyAlignment="1">
      <alignment horizontal="right" vertical="top"/>
    </xf>
    <xf numFmtId="165" fontId="3" fillId="14" borderId="0" xfId="0" applyNumberFormat="1" applyFont="1" applyFill="1" applyAlignment="1">
      <alignment horizontal="right" vertical="top"/>
    </xf>
    <xf numFmtId="165" fontId="14" fillId="14" borderId="0" xfId="0" applyNumberFormat="1" applyFont="1" applyFill="1" applyAlignment="1">
      <alignment horizontal="right" vertical="top"/>
    </xf>
    <xf numFmtId="165" fontId="4" fillId="14" borderId="0" xfId="1" applyNumberFormat="1" applyFont="1" applyFill="1" applyAlignment="1">
      <alignment horizontal="right" vertical="top"/>
    </xf>
    <xf numFmtId="165" fontId="3" fillId="14" borderId="0" xfId="1" applyNumberFormat="1" applyFont="1" applyFill="1" applyAlignment="1">
      <alignment horizontal="right" vertical="top"/>
    </xf>
    <xf numFmtId="165" fontId="13" fillId="14" borderId="0" xfId="1" applyNumberFormat="1" applyFont="1" applyFill="1" applyAlignment="1">
      <alignment horizontal="right" vertical="top" wrapText="1"/>
    </xf>
    <xf numFmtId="4" fontId="3" fillId="14" borderId="0" xfId="1" applyNumberFormat="1" applyFont="1" applyFill="1" applyAlignment="1">
      <alignment horizontal="right" vertical="top"/>
    </xf>
    <xf numFmtId="165" fontId="3" fillId="14" borderId="0" xfId="0" applyNumberFormat="1" applyFont="1" applyFill="1" applyAlignment="1">
      <alignment horizontal="right" vertical="top" wrapText="1"/>
    </xf>
    <xf numFmtId="165" fontId="3" fillId="14" borderId="0" xfId="0" applyNumberFormat="1" applyFont="1" applyFill="1" applyBorder="1" applyAlignment="1">
      <alignment horizontal="right" vertical="top"/>
    </xf>
    <xf numFmtId="164" fontId="3" fillId="14" borderId="0" xfId="0" applyNumberFormat="1" applyFont="1" applyFill="1" applyBorder="1" applyAlignment="1">
      <alignment horizontal="right" vertical="top"/>
    </xf>
    <xf numFmtId="164" fontId="3" fillId="14" borderId="0" xfId="0" applyNumberFormat="1" applyFont="1" applyFill="1" applyAlignment="1">
      <alignment horizontal="right" vertical="top"/>
    </xf>
    <xf numFmtId="164" fontId="4" fillId="14" borderId="0" xfId="0" applyNumberFormat="1" applyFont="1" applyFill="1" applyAlignment="1">
      <alignment horizontal="right" vertical="top"/>
    </xf>
    <xf numFmtId="164" fontId="3" fillId="14" borderId="0" xfId="0" applyNumberFormat="1" applyFont="1" applyFill="1"/>
    <xf numFmtId="0" fontId="3" fillId="14" borderId="0" xfId="0" applyFont="1" applyFill="1"/>
    <xf numFmtId="169" fontId="1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1" applyNumberFormat="1" applyFont="1" applyFill="1" applyAlignment="1">
      <alignment vertical="top"/>
    </xf>
    <xf numFmtId="4" fontId="13" fillId="0" borderId="0" xfId="1" applyNumberFormat="1" applyFont="1" applyFill="1" applyAlignment="1">
      <alignment vertical="top" wrapText="1"/>
    </xf>
    <xf numFmtId="4" fontId="4" fillId="0" borderId="0" xfId="1" applyNumberFormat="1" applyFont="1" applyFill="1" applyAlignment="1">
      <alignment vertical="top"/>
    </xf>
    <xf numFmtId="2" fontId="16" fillId="11" borderId="0" xfId="128" applyNumberFormat="1" applyFont="1" applyFill="1" applyBorder="1" applyAlignment="1">
      <alignment vertical="center"/>
    </xf>
    <xf numFmtId="2" fontId="17" fillId="11" borderId="0" xfId="1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2" fontId="17" fillId="11" borderId="0" xfId="128" applyNumberFormat="1" applyFont="1" applyFill="1" applyBorder="1" applyAlignment="1">
      <alignment vertical="center"/>
    </xf>
    <xf numFmtId="2" fontId="17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Alignment="1">
      <alignment vertical="top"/>
    </xf>
    <xf numFmtId="2" fontId="20" fillId="11" borderId="0" xfId="128" applyNumberFormat="1" applyFont="1" applyFill="1" applyBorder="1" applyAlignment="1">
      <alignment vertical="center"/>
    </xf>
    <xf numFmtId="170" fontId="17" fillId="0" borderId="6" xfId="130" applyNumberFormat="1" applyFont="1" applyFill="1" applyBorder="1" applyAlignment="1">
      <alignment horizontal="center" vertical="center" wrapText="1"/>
    </xf>
  </cellXfs>
  <cellStyles count="131">
    <cellStyle name="Данные (редактируемые)" xfId="3"/>
    <cellStyle name="Данные (только для чтения)" xfId="4"/>
    <cellStyle name="Данные для удаления" xfId="5"/>
    <cellStyle name="Заголовки полей" xfId="6"/>
    <cellStyle name="Заголовки полей [печать]" xfId="7"/>
    <cellStyle name="Заголовок меры" xfId="8"/>
    <cellStyle name="Заголовок показателя [печать]" xfId="9"/>
    <cellStyle name="Заголовок показателя константы" xfId="10"/>
    <cellStyle name="Заголовок результата расчета" xfId="11"/>
    <cellStyle name="Заголовок свободного показателя" xfId="12"/>
    <cellStyle name="Значение фильтра" xfId="13"/>
    <cellStyle name="Значение фильтра [печать]" xfId="14"/>
    <cellStyle name="Информация о задаче" xfId="15"/>
    <cellStyle name="Обычный" xfId="0" builtinId="0"/>
    <cellStyle name="Обычный 2" xfId="1"/>
    <cellStyle name="Обычный 2 10" xfId="16"/>
    <cellStyle name="Обычный 2 11" xfId="17"/>
    <cellStyle name="Обычный 2 12" xfId="18"/>
    <cellStyle name="Обычный 2 13" xfId="19"/>
    <cellStyle name="Обычный 2 14" xfId="20"/>
    <cellStyle name="Обычный 2 15" xfId="21"/>
    <cellStyle name="Обычный 2 16" xfId="22"/>
    <cellStyle name="Обычный 2 17" xfId="23"/>
    <cellStyle name="Обычный 2 18" xfId="24"/>
    <cellStyle name="Обычный 2 19" xfId="25"/>
    <cellStyle name="Обычный 2 2" xfId="26"/>
    <cellStyle name="Обычный 2 2 2" xfId="2"/>
    <cellStyle name="Обычный 2 2 3" xfId="27"/>
    <cellStyle name="Обычный 2 2 4" xfId="28"/>
    <cellStyle name="Обычный 2 2 5" xfId="29"/>
    <cellStyle name="Обычный 2 2 6" xfId="30"/>
    <cellStyle name="Обычный 2 20" xfId="31"/>
    <cellStyle name="Обычный 2 21" xfId="32"/>
    <cellStyle name="Обычный 2 22" xfId="33"/>
    <cellStyle name="Обычный 2 23" xfId="34"/>
    <cellStyle name="Обычный 2 24" xfId="35"/>
    <cellStyle name="Обычный 2 25" xfId="36"/>
    <cellStyle name="Обычный 2 26" xfId="37"/>
    <cellStyle name="Обычный 2 27" xfId="38"/>
    <cellStyle name="Обычный 2 28" xfId="39"/>
    <cellStyle name="Обычный 2 29" xfId="40"/>
    <cellStyle name="Обычный 2 3" xfId="41"/>
    <cellStyle name="Обычный 2 3 2" xfId="42"/>
    <cellStyle name="Обычный 2 3 3" xfId="43"/>
    <cellStyle name="Обычный 2 30" xfId="44"/>
    <cellStyle name="Обычный 2 31" xfId="45"/>
    <cellStyle name="Обычный 2 32" xfId="46"/>
    <cellStyle name="Обычный 2 33" xfId="47"/>
    <cellStyle name="Обычный 2 34" xfId="48"/>
    <cellStyle name="Обычный 2 35" xfId="49"/>
    <cellStyle name="Обычный 2 36" xfId="50"/>
    <cellStyle name="Обычный 2 37" xfId="51"/>
    <cellStyle name="Обычный 2 38" xfId="52"/>
    <cellStyle name="Обычный 2 39" xfId="53"/>
    <cellStyle name="Обычный 2 4" xfId="54"/>
    <cellStyle name="Обычный 2 4 2" xfId="55"/>
    <cellStyle name="Обычный 2 4 3" xfId="56"/>
    <cellStyle name="Обычный 2 40" xfId="57"/>
    <cellStyle name="Обычный 2 41" xfId="58"/>
    <cellStyle name="Обычный 2 42" xfId="59"/>
    <cellStyle name="Обычный 2 43" xfId="60"/>
    <cellStyle name="Обычный 2 44" xfId="61"/>
    <cellStyle name="Обычный 2 45" xfId="62"/>
    <cellStyle name="Обычный 2 46" xfId="63"/>
    <cellStyle name="Обычный 2 47" xfId="64"/>
    <cellStyle name="Обычный 2 48" xfId="65"/>
    <cellStyle name="Обычный 2 49" xfId="66"/>
    <cellStyle name="Обычный 2 5" xfId="67"/>
    <cellStyle name="Обычный 2 50" xfId="68"/>
    <cellStyle name="Обычный 2 51" xfId="69"/>
    <cellStyle name="Обычный 2 52" xfId="70"/>
    <cellStyle name="Обычный 2 53" xfId="71"/>
    <cellStyle name="Обычный 2 54" xfId="72"/>
    <cellStyle name="Обычный 2 55" xfId="73"/>
    <cellStyle name="Обычный 2 56" xfId="74"/>
    <cellStyle name="Обычный 2 57" xfId="75"/>
    <cellStyle name="Обычный 2 58" xfId="76"/>
    <cellStyle name="Обычный 2 59" xfId="77"/>
    <cellStyle name="Обычный 2 6" xfId="78"/>
    <cellStyle name="Обычный 2 60" xfId="79"/>
    <cellStyle name="Обычный 2 61" xfId="80"/>
    <cellStyle name="Обычный 2 62" xfId="81"/>
    <cellStyle name="Обычный 2 63" xfId="82"/>
    <cellStyle name="Обычный 2 64" xfId="83"/>
    <cellStyle name="Обычный 2 65" xfId="84"/>
    <cellStyle name="Обычный 2 66" xfId="85"/>
    <cellStyle name="Обычный 2 67" xfId="86"/>
    <cellStyle name="Обычный 2 68" xfId="87"/>
    <cellStyle name="Обычный 2 69" xfId="88"/>
    <cellStyle name="Обычный 2 7" xfId="89"/>
    <cellStyle name="Обычный 2 70" xfId="90"/>
    <cellStyle name="Обычный 2 71" xfId="91"/>
    <cellStyle name="Обычный 2 72" xfId="92"/>
    <cellStyle name="Обычный 2 73" xfId="93"/>
    <cellStyle name="Обычный 2 74" xfId="94"/>
    <cellStyle name="Обычный 2 75" xfId="95"/>
    <cellStyle name="Обычный 2 76" xfId="96"/>
    <cellStyle name="Обычный 2 77" xfId="97"/>
    <cellStyle name="Обычный 2 78" xfId="98"/>
    <cellStyle name="Обычный 2 8" xfId="99"/>
    <cellStyle name="Обычный 2 9" xfId="100"/>
    <cellStyle name="Обычный 3" xfId="101"/>
    <cellStyle name="Обычный 3 2" xfId="102"/>
    <cellStyle name="Обычный 3_Книга1" xfId="128"/>
    <cellStyle name="Обычный 4" xfId="103"/>
    <cellStyle name="Обычный 4 2" xfId="104"/>
    <cellStyle name="Обычный 5" xfId="105"/>
    <cellStyle name="Обычный 5 2" xfId="106"/>
    <cellStyle name="Обычный 6" xfId="107"/>
    <cellStyle name="Обычный 7" xfId="108"/>
    <cellStyle name="Обычный_республиканский  2005 г" xfId="130"/>
    <cellStyle name="Отдельная ячейка" xfId="109"/>
    <cellStyle name="Отдельная ячейка - константа" xfId="110"/>
    <cellStyle name="Отдельная ячейка - константа [печать]" xfId="111"/>
    <cellStyle name="Отдельная ячейка [печать]" xfId="112"/>
    <cellStyle name="Отдельная ячейка-результат" xfId="113"/>
    <cellStyle name="Отдельная ячейка-результат [печать]" xfId="114"/>
    <cellStyle name="Примечание 2" xfId="115"/>
    <cellStyle name="Свойства элементов измерения" xfId="116"/>
    <cellStyle name="Свойства элементов измерения [печать]" xfId="117"/>
    <cellStyle name="Финансовый 2" xfId="118"/>
    <cellStyle name="Финансовый 2 2" xfId="119"/>
    <cellStyle name="Финансовый 3" xfId="120"/>
    <cellStyle name="Финансовый 3 2" xfId="121"/>
    <cellStyle name="Финансовый 4" xfId="122"/>
    <cellStyle name="Финансовый 4 2" xfId="123"/>
    <cellStyle name="Финансовый 5" xfId="124"/>
    <cellStyle name="Финансовый 5 2" xfId="129"/>
    <cellStyle name="Финансовый 6" xfId="125"/>
    <cellStyle name="Элементы осей" xfId="126"/>
    <cellStyle name="Элементы осей [печать]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G196"/>
  <sheetViews>
    <sheetView view="pageBreakPreview" zoomScale="85" zoomScaleNormal="100" zoomScaleSheetLayoutView="85" workbookViewId="0">
      <pane xSplit="1" ySplit="5" topLeftCell="H68" activePane="bottomRight" state="frozen"/>
      <selection pane="topRight" activeCell="B1" sqref="B1"/>
      <selection pane="bottomLeft" activeCell="A6" sqref="A6"/>
      <selection pane="bottomRight" activeCell="J91" sqref="J91"/>
    </sheetView>
  </sheetViews>
  <sheetFormatPr defaultRowHeight="15.75" x14ac:dyDescent="0.25"/>
  <cols>
    <col min="1" max="1" width="67.42578125" style="3" customWidth="1"/>
    <col min="2" max="2" width="15.140625" style="1" customWidth="1"/>
    <col min="3" max="5" width="15.28515625" style="1" customWidth="1"/>
    <col min="6" max="6" width="10.42578125" style="1" customWidth="1"/>
    <col min="7" max="7" width="16.85546875" style="1" customWidth="1"/>
    <col min="8" max="8" width="9.85546875" style="1" customWidth="1"/>
    <col min="9" max="9" width="16.85546875" style="1" customWidth="1"/>
    <col min="10" max="10" width="10.85546875" style="1" customWidth="1"/>
    <col min="11" max="11" width="16.85546875" style="1" customWidth="1"/>
    <col min="12" max="12" width="11.28515625" style="1" customWidth="1"/>
    <col min="13" max="98" width="9.140625" style="1"/>
    <col min="99" max="99" width="29.140625" style="1" customWidth="1"/>
    <col min="100" max="101" width="0" style="1" hidden="1" customWidth="1"/>
    <col min="102" max="102" width="11.5703125" style="1" customWidth="1"/>
    <col min="103" max="103" width="0" style="1" hidden="1" customWidth="1"/>
    <col min="104" max="104" width="12.140625" style="1" customWidth="1"/>
    <col min="105" max="105" width="11.28515625" style="1" customWidth="1"/>
    <col min="106" max="106" width="12.5703125" style="1" customWidth="1"/>
    <col min="107" max="107" width="0" style="1" hidden="1" customWidth="1"/>
    <col min="108" max="108" width="13.42578125" style="1" customWidth="1"/>
    <col min="109" max="109" width="6.85546875" style="1" customWidth="1"/>
    <col min="110" max="110" width="12.85546875" style="1" customWidth="1"/>
    <col min="111" max="111" width="7.28515625" style="1" customWidth="1"/>
    <col min="112" max="112" width="12.42578125" style="1" customWidth="1"/>
    <col min="113" max="113" width="8.28515625" style="1" customWidth="1"/>
    <col min="114" max="114" width="9.140625" style="1"/>
    <col min="115" max="115" width="10" style="1" bestFit="1" customWidth="1"/>
    <col min="116" max="116" width="9.7109375" style="1" customWidth="1"/>
    <col min="117" max="16384" width="9.140625" style="1"/>
  </cols>
  <sheetData>
    <row r="1" spans="1:12" ht="18.75" customHeight="1" x14ac:dyDescent="0.2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32"/>
      <c r="L1" s="32"/>
    </row>
    <row r="2" spans="1:12" ht="36.75" customHeight="1" x14ac:dyDescent="0.25">
      <c r="A2" s="105" t="s">
        <v>70</v>
      </c>
      <c r="B2" s="105"/>
      <c r="C2" s="105"/>
      <c r="D2" s="105"/>
      <c r="E2" s="105"/>
      <c r="F2" s="105"/>
      <c r="G2" s="105"/>
      <c r="H2" s="105"/>
      <c r="I2" s="105"/>
      <c r="J2" s="105"/>
      <c r="K2" s="32"/>
      <c r="L2" s="32"/>
    </row>
    <row r="3" spans="1:12" x14ac:dyDescent="0.25">
      <c r="A3" s="31"/>
      <c r="B3" s="28"/>
      <c r="C3" s="28"/>
      <c r="D3" s="28"/>
      <c r="E3" s="28"/>
      <c r="F3" s="28"/>
      <c r="H3" s="30"/>
      <c r="J3" s="30" t="s">
        <v>54</v>
      </c>
    </row>
    <row r="4" spans="1:12" s="28" customFormat="1" ht="47.25" x14ac:dyDescent="0.2">
      <c r="A4" s="29" t="s">
        <v>53</v>
      </c>
      <c r="B4" s="29" t="s">
        <v>72</v>
      </c>
      <c r="C4" s="29" t="s">
        <v>73</v>
      </c>
      <c r="D4" s="29" t="s">
        <v>64</v>
      </c>
      <c r="E4" s="29" t="s">
        <v>65</v>
      </c>
      <c r="F4" s="29" t="s">
        <v>66</v>
      </c>
      <c r="G4" s="29" t="s">
        <v>68</v>
      </c>
      <c r="H4" s="29" t="s">
        <v>69</v>
      </c>
      <c r="I4" s="29" t="s">
        <v>94</v>
      </c>
      <c r="J4" s="29" t="s">
        <v>95</v>
      </c>
    </row>
    <row r="5" spans="1:12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2" x14ac:dyDescent="0.25">
      <c r="A6" s="26" t="s">
        <v>52</v>
      </c>
      <c r="B6" s="21"/>
      <c r="C6" s="21"/>
      <c r="D6" s="65"/>
      <c r="E6" s="21"/>
      <c r="F6" s="65"/>
      <c r="G6" s="21"/>
      <c r="H6" s="65"/>
      <c r="I6" s="21"/>
      <c r="J6" s="65"/>
    </row>
    <row r="7" spans="1:12" s="25" customFormat="1" x14ac:dyDescent="0.25">
      <c r="A7" s="22" t="s">
        <v>51</v>
      </c>
      <c r="B7" s="35">
        <f>B8+B11+B14+B19+B23</f>
        <v>37790.540999999997</v>
      </c>
      <c r="C7" s="35">
        <f>C8+C11+C14+C19+C23</f>
        <v>39862</v>
      </c>
      <c r="D7" s="66">
        <f>C7/B7%</f>
        <v>105.48142192513201</v>
      </c>
      <c r="E7" s="35">
        <f>E8+E11+E14+E19+E23</f>
        <v>40844</v>
      </c>
      <c r="F7" s="66">
        <f>E7/C7%</f>
        <v>102.4634990717977</v>
      </c>
      <c r="G7" s="35">
        <f>G8+G11+G14+G19+G23</f>
        <v>42914</v>
      </c>
      <c r="H7" s="66">
        <f>G7/E7%</f>
        <v>105.06806385270787</v>
      </c>
      <c r="I7" s="35">
        <f>I8+I11+I14+I19+I23</f>
        <v>45446</v>
      </c>
      <c r="J7" s="66">
        <f>I7/G7%</f>
        <v>105.90017243789906</v>
      </c>
    </row>
    <row r="8" spans="1:12" s="25" customFormat="1" x14ac:dyDescent="0.25">
      <c r="A8" s="22" t="s">
        <v>50</v>
      </c>
      <c r="B8" s="34">
        <f>B10</f>
        <v>26552.228999999999</v>
      </c>
      <c r="C8" s="34">
        <f>SUM(C9:C10)</f>
        <v>29079</v>
      </c>
      <c r="D8" s="66">
        <f t="shared" ref="D8" si="0">C8/B8%</f>
        <v>109.51622931543713</v>
      </c>
      <c r="E8" s="34">
        <f>SUM(E9:E10)</f>
        <v>27469</v>
      </c>
      <c r="F8" s="66">
        <f t="shared" ref="F8:J8" si="1">E8/C8%</f>
        <v>94.463358437360284</v>
      </c>
      <c r="G8" s="34">
        <f>SUM(G9:G10)</f>
        <v>29263</v>
      </c>
      <c r="H8" s="66">
        <f t="shared" si="1"/>
        <v>106.5309985802177</v>
      </c>
      <c r="I8" s="34">
        <f>SUM(I9:I10)</f>
        <v>31545</v>
      </c>
      <c r="J8" s="66">
        <f t="shared" si="1"/>
        <v>107.79824351570242</v>
      </c>
    </row>
    <row r="9" spans="1:12" s="25" customFormat="1" x14ac:dyDescent="0.25">
      <c r="A9" s="24" t="s">
        <v>49</v>
      </c>
      <c r="B9" s="33"/>
      <c r="C9" s="33"/>
      <c r="D9" s="67"/>
      <c r="E9" s="33"/>
      <c r="F9" s="67"/>
      <c r="G9" s="33"/>
      <c r="H9" s="67"/>
      <c r="I9" s="33"/>
      <c r="J9" s="67"/>
    </row>
    <row r="10" spans="1:12" s="25" customFormat="1" x14ac:dyDescent="0.25">
      <c r="A10" s="24" t="s">
        <v>48</v>
      </c>
      <c r="B10" s="33">
        <v>26552.228999999999</v>
      </c>
      <c r="C10" s="33">
        <v>29079</v>
      </c>
      <c r="D10" s="67">
        <f t="shared" ref="D10:D33" si="2">C10/B10%</f>
        <v>109.51622931543713</v>
      </c>
      <c r="E10" s="33">
        <v>27469</v>
      </c>
      <c r="F10" s="67">
        <f>E10/C10%</f>
        <v>94.463358437360284</v>
      </c>
      <c r="G10" s="33">
        <v>29263</v>
      </c>
      <c r="H10" s="67">
        <f>G10/E10%</f>
        <v>106.5309985802177</v>
      </c>
      <c r="I10" s="33">
        <v>31545</v>
      </c>
      <c r="J10" s="67">
        <f>I10/G10%</f>
        <v>107.79824351570242</v>
      </c>
    </row>
    <row r="11" spans="1:12" s="25" customFormat="1" ht="31.5" x14ac:dyDescent="0.25">
      <c r="A11" s="22" t="s">
        <v>47</v>
      </c>
      <c r="B11" s="34">
        <f>SUM(B12:B13)</f>
        <v>9516.2839999999997</v>
      </c>
      <c r="C11" s="34">
        <f>SUM(C12:C13)</f>
        <v>8793</v>
      </c>
      <c r="D11" s="66">
        <f t="shared" si="2"/>
        <v>92.399512246587008</v>
      </c>
      <c r="E11" s="34">
        <f>SUM(E12:E13)</f>
        <v>10645</v>
      </c>
      <c r="F11" s="66">
        <f t="shared" ref="F11:J39" si="3">E11/C11%</f>
        <v>121.06220857500283</v>
      </c>
      <c r="G11" s="34">
        <f>SUM(G12:G13)</f>
        <v>10752</v>
      </c>
      <c r="H11" s="66">
        <f t="shared" si="3"/>
        <v>101.00516674495069</v>
      </c>
      <c r="I11" s="34">
        <f>SUM(I12:I13)</f>
        <v>10831</v>
      </c>
      <c r="J11" s="66">
        <f t="shared" si="3"/>
        <v>100.73474702380953</v>
      </c>
    </row>
    <row r="12" spans="1:12" s="25" customFormat="1" x14ac:dyDescent="0.25">
      <c r="A12" s="24" t="s">
        <v>46</v>
      </c>
      <c r="B12" s="33">
        <v>9516.2839999999997</v>
      </c>
      <c r="C12" s="33">
        <v>8793</v>
      </c>
      <c r="D12" s="67">
        <f>C12/B12%</f>
        <v>92.399512246587008</v>
      </c>
      <c r="E12" s="33">
        <v>10645</v>
      </c>
      <c r="F12" s="67">
        <f t="shared" si="3"/>
        <v>121.06220857500283</v>
      </c>
      <c r="G12" s="33">
        <v>10752</v>
      </c>
      <c r="H12" s="67">
        <f t="shared" si="3"/>
        <v>101.00516674495069</v>
      </c>
      <c r="I12" s="33">
        <v>10831</v>
      </c>
      <c r="J12" s="67">
        <f t="shared" si="3"/>
        <v>100.73474702380953</v>
      </c>
    </row>
    <row r="13" spans="1:12" s="25" customFormat="1" x14ac:dyDescent="0.25">
      <c r="A13" s="24" t="s">
        <v>45</v>
      </c>
      <c r="B13" s="33"/>
      <c r="C13" s="33"/>
      <c r="D13" s="67"/>
      <c r="E13" s="33"/>
      <c r="F13" s="67"/>
      <c r="G13" s="33"/>
      <c r="H13" s="67"/>
      <c r="I13" s="33"/>
      <c r="J13" s="67"/>
    </row>
    <row r="14" spans="1:12" s="25" customFormat="1" x14ac:dyDescent="0.25">
      <c r="A14" s="22" t="s">
        <v>44</v>
      </c>
      <c r="B14" s="34">
        <f>SUM(B15:B18)</f>
        <v>879.88200000000006</v>
      </c>
      <c r="C14" s="34">
        <f>SUM(C15:C18)</f>
        <v>1168</v>
      </c>
      <c r="D14" s="66">
        <f t="shared" si="2"/>
        <v>132.74507263473964</v>
      </c>
      <c r="E14" s="34">
        <f>SUM(E15:E18)</f>
        <v>1722</v>
      </c>
      <c r="F14" s="66">
        <f>E14/C14%</f>
        <v>147.43150684931507</v>
      </c>
      <c r="G14" s="34">
        <f>SUM(G15:G18)</f>
        <v>1834</v>
      </c>
      <c r="H14" s="34">
        <f>SUM(H15:H18)</f>
        <v>332.09255842558423</v>
      </c>
      <c r="I14" s="34">
        <f>SUM(I15:I18)</f>
        <v>1945</v>
      </c>
      <c r="J14" s="66">
        <f t="shared" si="3"/>
        <v>106.05234460196293</v>
      </c>
    </row>
    <row r="15" spans="1:12" s="25" customFormat="1" ht="31.5" x14ac:dyDescent="0.25">
      <c r="A15" s="24" t="s">
        <v>43</v>
      </c>
      <c r="B15" s="33">
        <v>809.64300000000003</v>
      </c>
      <c r="C15" s="33">
        <v>1078</v>
      </c>
      <c r="D15" s="67"/>
      <c r="E15" s="33">
        <v>1626</v>
      </c>
      <c r="F15" s="66">
        <f>E15/C15%</f>
        <v>150.83487940630798</v>
      </c>
      <c r="G15" s="33">
        <v>1721</v>
      </c>
      <c r="H15" s="67">
        <f t="shared" si="3"/>
        <v>105.84255842558424</v>
      </c>
      <c r="I15" s="33">
        <v>1824</v>
      </c>
      <c r="J15" s="67">
        <f t="shared" si="3"/>
        <v>105.98489250435793</v>
      </c>
    </row>
    <row r="16" spans="1:12" s="25" customFormat="1" ht="31.5" x14ac:dyDescent="0.25">
      <c r="A16" s="24" t="s">
        <v>42</v>
      </c>
      <c r="B16" s="33">
        <v>0.24099999999999999</v>
      </c>
      <c r="C16" s="33">
        <v>0</v>
      </c>
      <c r="D16" s="67">
        <f t="shared" si="2"/>
        <v>0</v>
      </c>
      <c r="E16" s="33"/>
      <c r="F16" s="67"/>
      <c r="G16" s="33"/>
      <c r="H16" s="67"/>
      <c r="I16" s="33"/>
      <c r="J16" s="67"/>
    </row>
    <row r="17" spans="1:10" s="25" customFormat="1" x14ac:dyDescent="0.25">
      <c r="A17" s="24" t="s">
        <v>41</v>
      </c>
      <c r="B17" s="33">
        <v>19.128</v>
      </c>
      <c r="C17" s="33">
        <v>15</v>
      </c>
      <c r="D17" s="67">
        <f t="shared" si="2"/>
        <v>78.419071518193221</v>
      </c>
      <c r="E17" s="33">
        <v>16</v>
      </c>
      <c r="F17" s="67">
        <f t="shared" si="3"/>
        <v>106.66666666666667</v>
      </c>
      <c r="G17" s="33">
        <v>17</v>
      </c>
      <c r="H17" s="67">
        <f t="shared" si="3"/>
        <v>106.25</v>
      </c>
      <c r="I17" s="33">
        <v>19</v>
      </c>
      <c r="J17" s="67">
        <f t="shared" si="3"/>
        <v>111.76470588235293</v>
      </c>
    </row>
    <row r="18" spans="1:10" s="25" customFormat="1" ht="31.5" x14ac:dyDescent="0.25">
      <c r="A18" s="24" t="s">
        <v>40</v>
      </c>
      <c r="B18" s="33">
        <v>50.87</v>
      </c>
      <c r="C18" s="33">
        <v>75</v>
      </c>
      <c r="D18" s="67">
        <f t="shared" si="2"/>
        <v>147.43463731079223</v>
      </c>
      <c r="E18" s="33">
        <v>80</v>
      </c>
      <c r="F18" s="67">
        <f t="shared" si="3"/>
        <v>106.66666666666667</v>
      </c>
      <c r="G18" s="33">
        <v>96</v>
      </c>
      <c r="H18" s="67">
        <f t="shared" si="3"/>
        <v>120</v>
      </c>
      <c r="I18" s="33">
        <v>102</v>
      </c>
      <c r="J18" s="67">
        <f t="shared" si="3"/>
        <v>106.25</v>
      </c>
    </row>
    <row r="19" spans="1:10" s="25" customFormat="1" x14ac:dyDescent="0.25">
      <c r="A19" s="22" t="s">
        <v>39</v>
      </c>
      <c r="B19" s="34">
        <f>SUM(B20:B22)</f>
        <v>572.19299999999998</v>
      </c>
      <c r="C19" s="34">
        <f>SUM(C20:C22)</f>
        <v>632</v>
      </c>
      <c r="D19" s="67">
        <f t="shared" si="2"/>
        <v>110.45224251257881</v>
      </c>
      <c r="E19" s="34">
        <f>SUM(E20:E22)</f>
        <v>671</v>
      </c>
      <c r="F19" s="67">
        <f t="shared" si="3"/>
        <v>106.17088607594937</v>
      </c>
      <c r="G19" s="34">
        <f>SUM(G20:G22)</f>
        <v>711</v>
      </c>
      <c r="H19" s="67">
        <f t="shared" si="3"/>
        <v>105.9612518628912</v>
      </c>
      <c r="I19" s="34">
        <f>SUM(I20:I22)</f>
        <v>753</v>
      </c>
      <c r="J19" s="67">
        <f t="shared" si="3"/>
        <v>105.90717299578058</v>
      </c>
    </row>
    <row r="20" spans="1:10" s="25" customFormat="1" x14ac:dyDescent="0.25">
      <c r="A20" s="24" t="s">
        <v>38</v>
      </c>
      <c r="B20" s="33">
        <v>20.806999999999999</v>
      </c>
      <c r="C20" s="33">
        <v>22</v>
      </c>
      <c r="D20" s="67">
        <f t="shared" si="2"/>
        <v>105.73364733022542</v>
      </c>
      <c r="E20" s="33">
        <v>23</v>
      </c>
      <c r="F20" s="67">
        <f t="shared" si="3"/>
        <v>104.54545454545455</v>
      </c>
      <c r="G20" s="33">
        <v>25</v>
      </c>
      <c r="H20" s="67"/>
      <c r="I20" s="33">
        <v>26</v>
      </c>
      <c r="J20" s="67">
        <f t="shared" si="3"/>
        <v>104</v>
      </c>
    </row>
    <row r="21" spans="1:10" s="25" customFormat="1" x14ac:dyDescent="0.25">
      <c r="A21" s="24" t="s">
        <v>37</v>
      </c>
      <c r="B21" s="33">
        <v>286.15899999999999</v>
      </c>
      <c r="C21" s="33">
        <v>329</v>
      </c>
      <c r="D21" s="67">
        <f t="shared" si="2"/>
        <v>114.97104756446591</v>
      </c>
      <c r="E21" s="33">
        <v>347</v>
      </c>
      <c r="F21" s="67">
        <f t="shared" si="3"/>
        <v>105.47112462006079</v>
      </c>
      <c r="G21" s="33">
        <v>367</v>
      </c>
      <c r="H21" s="67">
        <f t="shared" si="3"/>
        <v>105.76368876080691</v>
      </c>
      <c r="I21" s="33">
        <v>389</v>
      </c>
      <c r="J21" s="67">
        <f t="shared" si="3"/>
        <v>105.99455040871935</v>
      </c>
    </row>
    <row r="22" spans="1:10" s="25" customFormat="1" x14ac:dyDescent="0.25">
      <c r="A22" s="24" t="s">
        <v>36</v>
      </c>
      <c r="B22" s="33">
        <v>265.22699999999998</v>
      </c>
      <c r="C22" s="33">
        <v>281</v>
      </c>
      <c r="D22" s="67">
        <f t="shared" si="2"/>
        <v>105.94698126510499</v>
      </c>
      <c r="E22" s="34">
        <v>301</v>
      </c>
      <c r="F22" s="67">
        <f t="shared" si="3"/>
        <v>107.11743772241992</v>
      </c>
      <c r="G22" s="33">
        <v>319</v>
      </c>
      <c r="H22" s="67">
        <f t="shared" si="3"/>
        <v>105.98006644518273</v>
      </c>
      <c r="I22" s="33">
        <v>338</v>
      </c>
      <c r="J22" s="67">
        <f t="shared" si="3"/>
        <v>105.95611285266457</v>
      </c>
    </row>
    <row r="23" spans="1:10" s="25" customFormat="1" x14ac:dyDescent="0.25">
      <c r="A23" s="22" t="s">
        <v>35</v>
      </c>
      <c r="B23" s="34">
        <v>269.95299999999997</v>
      </c>
      <c r="C23" s="34">
        <v>190</v>
      </c>
      <c r="D23" s="66">
        <f t="shared" si="2"/>
        <v>70.382622160153815</v>
      </c>
      <c r="E23" s="35">
        <v>337</v>
      </c>
      <c r="F23" s="66">
        <f t="shared" si="3"/>
        <v>177.36842105263159</v>
      </c>
      <c r="G23" s="34">
        <v>354</v>
      </c>
      <c r="H23" s="66">
        <f t="shared" si="3"/>
        <v>105.04451038575667</v>
      </c>
      <c r="I23" s="34">
        <v>372</v>
      </c>
      <c r="J23" s="66">
        <f t="shared" si="3"/>
        <v>105.08474576271186</v>
      </c>
    </row>
    <row r="24" spans="1:10" s="25" customFormat="1" x14ac:dyDescent="0.25">
      <c r="A24" s="22" t="s">
        <v>34</v>
      </c>
      <c r="B24" s="35">
        <f>B25+B27+B28+B30+B31+B32</f>
        <v>6463.0940000000001</v>
      </c>
      <c r="C24" s="35">
        <f>C25+C27+C28+C30+C31+C32</f>
        <v>296</v>
      </c>
      <c r="D24" s="66">
        <f t="shared" si="2"/>
        <v>4.5798498366262352</v>
      </c>
      <c r="E24" s="34">
        <f>E25+E27+E28+E30+E31+E32</f>
        <v>459</v>
      </c>
      <c r="F24" s="66">
        <f>E24/C24%</f>
        <v>155.06756756756758</v>
      </c>
      <c r="G24" s="35">
        <f>G25+G27+G28+G30+G31+G32</f>
        <v>593</v>
      </c>
      <c r="H24" s="66">
        <f t="shared" si="3"/>
        <v>129.19389978213508</v>
      </c>
      <c r="I24" s="35">
        <f>I25+I27+I28+I30+I31+I32</f>
        <v>632</v>
      </c>
      <c r="J24" s="66">
        <f t="shared" si="3"/>
        <v>106.57672849915683</v>
      </c>
    </row>
    <row r="25" spans="1:10" s="16" customFormat="1" x14ac:dyDescent="0.2">
      <c r="A25" s="22" t="s">
        <v>32</v>
      </c>
      <c r="B25" s="34">
        <f>SUM(B26:B26)</f>
        <v>226.01900000000001</v>
      </c>
      <c r="C25" s="34">
        <f>SUM(C26:C26)</f>
        <v>86</v>
      </c>
      <c r="D25" s="66">
        <f t="shared" si="2"/>
        <v>38.049898459863989</v>
      </c>
      <c r="E25" s="34">
        <f>E26</f>
        <v>95</v>
      </c>
      <c r="F25" s="66">
        <f t="shared" si="3"/>
        <v>110.46511627906978</v>
      </c>
      <c r="G25" s="34">
        <f>SUM(G26:G26)</f>
        <v>100</v>
      </c>
      <c r="H25" s="66">
        <f t="shared" si="3"/>
        <v>105.26315789473685</v>
      </c>
      <c r="I25" s="34">
        <f>SUM(I26:I26)</f>
        <v>105</v>
      </c>
      <c r="J25" s="66">
        <f t="shared" si="3"/>
        <v>105</v>
      </c>
    </row>
    <row r="26" spans="1:10" s="16" customFormat="1" x14ac:dyDescent="0.2">
      <c r="A26" s="24" t="s">
        <v>31</v>
      </c>
      <c r="B26" s="33">
        <v>226.01900000000001</v>
      </c>
      <c r="C26" s="33">
        <v>86</v>
      </c>
      <c r="D26" s="67">
        <f>C26/B26%</f>
        <v>38.049898459863989</v>
      </c>
      <c r="E26" s="33">
        <v>95</v>
      </c>
      <c r="F26" s="67">
        <f t="shared" si="3"/>
        <v>110.46511627906978</v>
      </c>
      <c r="G26" s="33">
        <v>100</v>
      </c>
      <c r="H26" s="67">
        <f t="shared" si="3"/>
        <v>105.26315789473685</v>
      </c>
      <c r="I26" s="33">
        <v>105</v>
      </c>
      <c r="J26" s="67">
        <f t="shared" si="3"/>
        <v>105</v>
      </c>
    </row>
    <row r="27" spans="1:10" s="16" customFormat="1" ht="31.5" x14ac:dyDescent="0.2">
      <c r="A27" s="22" t="s">
        <v>30</v>
      </c>
      <c r="B27" s="34">
        <v>832.90899999999999</v>
      </c>
      <c r="C27" s="34">
        <v>2</v>
      </c>
      <c r="D27" s="67">
        <v>0</v>
      </c>
      <c r="E27" s="34">
        <v>2</v>
      </c>
      <c r="F27" s="67">
        <f t="shared" si="3"/>
        <v>100</v>
      </c>
      <c r="G27" s="34">
        <v>2</v>
      </c>
      <c r="H27" s="67">
        <f t="shared" si="3"/>
        <v>100</v>
      </c>
      <c r="I27" s="34">
        <v>2</v>
      </c>
      <c r="J27" s="67">
        <f t="shared" si="3"/>
        <v>100</v>
      </c>
    </row>
    <row r="28" spans="1:10" s="16" customFormat="1" x14ac:dyDescent="0.2">
      <c r="A28" s="22" t="s">
        <v>33</v>
      </c>
      <c r="B28" s="34">
        <f>B29</f>
        <v>192.32300000000001</v>
      </c>
      <c r="C28" s="34">
        <f>C29</f>
        <v>133</v>
      </c>
      <c r="D28" s="67">
        <f t="shared" si="2"/>
        <v>69.154495302173942</v>
      </c>
      <c r="E28" s="34">
        <f>E29</f>
        <v>168</v>
      </c>
      <c r="F28" s="67">
        <f t="shared" si="3"/>
        <v>126.31578947368421</v>
      </c>
      <c r="G28" s="34">
        <f>G29</f>
        <v>173</v>
      </c>
      <c r="H28" s="67">
        <f t="shared" si="3"/>
        <v>102.97619047619048</v>
      </c>
      <c r="I28" s="34">
        <f>I29</f>
        <v>180</v>
      </c>
      <c r="J28" s="67">
        <f t="shared" si="3"/>
        <v>104.04624277456648</v>
      </c>
    </row>
    <row r="29" spans="1:10" s="16" customFormat="1" x14ac:dyDescent="0.25">
      <c r="A29" s="23" t="s">
        <v>60</v>
      </c>
      <c r="B29" s="33">
        <v>192.32300000000001</v>
      </c>
      <c r="C29" s="33">
        <v>133</v>
      </c>
      <c r="D29" s="67">
        <f t="shared" si="2"/>
        <v>69.154495302173942</v>
      </c>
      <c r="E29" s="33">
        <v>168</v>
      </c>
      <c r="F29" s="67">
        <f t="shared" si="3"/>
        <v>126.31578947368421</v>
      </c>
      <c r="G29" s="33">
        <v>173</v>
      </c>
      <c r="H29" s="67">
        <f t="shared" si="3"/>
        <v>102.97619047619048</v>
      </c>
      <c r="I29" s="33">
        <v>180</v>
      </c>
      <c r="J29" s="67">
        <f t="shared" si="3"/>
        <v>104.04624277456648</v>
      </c>
    </row>
    <row r="30" spans="1:10" s="16" customFormat="1" ht="31.5" x14ac:dyDescent="0.2">
      <c r="A30" s="22" t="s">
        <v>29</v>
      </c>
      <c r="B30" s="34">
        <v>72.116</v>
      </c>
      <c r="C30" s="34">
        <v>10</v>
      </c>
      <c r="D30" s="66">
        <f t="shared" si="2"/>
        <v>13.866548338787508</v>
      </c>
      <c r="E30" s="34">
        <v>92</v>
      </c>
      <c r="F30" s="66">
        <f t="shared" si="3"/>
        <v>920</v>
      </c>
      <c r="G30" s="34">
        <v>95</v>
      </c>
      <c r="H30" s="66">
        <f t="shared" si="3"/>
        <v>103.26086956521739</v>
      </c>
      <c r="I30" s="34">
        <v>96</v>
      </c>
      <c r="J30" s="66">
        <f t="shared" si="3"/>
        <v>101.05263157894737</v>
      </c>
    </row>
    <row r="31" spans="1:10" s="16" customFormat="1" x14ac:dyDescent="0.2">
      <c r="A31" s="22" t="s">
        <v>28</v>
      </c>
      <c r="B31" s="34">
        <v>-71.945999999999998</v>
      </c>
      <c r="C31" s="34">
        <v>45</v>
      </c>
      <c r="D31" s="66">
        <f t="shared" si="2"/>
        <v>-62.546910182636978</v>
      </c>
      <c r="E31" s="34">
        <v>81</v>
      </c>
      <c r="F31" s="66">
        <f t="shared" si="3"/>
        <v>180</v>
      </c>
      <c r="G31" s="34">
        <v>201</v>
      </c>
      <c r="H31" s="66">
        <f t="shared" si="3"/>
        <v>248.14814814814812</v>
      </c>
      <c r="I31" s="34">
        <v>226</v>
      </c>
      <c r="J31" s="66">
        <f t="shared" si="3"/>
        <v>112.43781094527364</v>
      </c>
    </row>
    <row r="32" spans="1:10" s="16" customFormat="1" x14ac:dyDescent="0.2">
      <c r="A32" s="22" t="s">
        <v>27</v>
      </c>
      <c r="B32" s="34">
        <v>5211.6729999999998</v>
      </c>
      <c r="C32" s="34">
        <v>20</v>
      </c>
      <c r="D32" s="66">
        <f t="shared" si="2"/>
        <v>0.38375393083948284</v>
      </c>
      <c r="E32" s="34">
        <v>21</v>
      </c>
      <c r="F32" s="66">
        <f>E32/C32%</f>
        <v>105</v>
      </c>
      <c r="G32" s="34">
        <v>22</v>
      </c>
      <c r="H32" s="66">
        <f t="shared" si="3"/>
        <v>104.76190476190476</v>
      </c>
      <c r="I32" s="34">
        <v>23</v>
      </c>
      <c r="J32" s="66">
        <f t="shared" si="3"/>
        <v>104.54545454545455</v>
      </c>
    </row>
    <row r="33" spans="1:10" s="16" customFormat="1" x14ac:dyDescent="0.2">
      <c r="A33" s="13" t="s">
        <v>26</v>
      </c>
      <c r="B33" s="34">
        <f>B7+B24</f>
        <v>44253.634999999995</v>
      </c>
      <c r="C33" s="34">
        <f>C7+C24</f>
        <v>40158</v>
      </c>
      <c r="D33" s="66">
        <f t="shared" si="2"/>
        <v>90.745087945882872</v>
      </c>
      <c r="E33" s="34">
        <f>E7+E24</f>
        <v>41303</v>
      </c>
      <c r="F33" s="66">
        <f>E33/C33%</f>
        <v>102.85123761143484</v>
      </c>
      <c r="G33" s="34">
        <f>G7+G24</f>
        <v>43507</v>
      </c>
      <c r="H33" s="66">
        <f t="shared" si="3"/>
        <v>105.33617412778733</v>
      </c>
      <c r="I33" s="34">
        <f>I7+I24</f>
        <v>46078</v>
      </c>
      <c r="J33" s="66">
        <f t="shared" si="3"/>
        <v>105.90939389063828</v>
      </c>
    </row>
    <row r="34" spans="1:10" s="16" customFormat="1" x14ac:dyDescent="0.2">
      <c r="A34" s="56" t="s">
        <v>63</v>
      </c>
      <c r="B34" s="57">
        <v>16545.482650000002</v>
      </c>
      <c r="C34" s="57">
        <f>B73</f>
        <v>7464.2116499998956</v>
      </c>
      <c r="D34" s="68"/>
      <c r="E34" s="57"/>
      <c r="F34" s="68"/>
      <c r="G34" s="57"/>
      <c r="H34" s="68"/>
      <c r="I34" s="57"/>
      <c r="J34" s="68"/>
    </row>
    <row r="35" spans="1:10" s="16" customFormat="1" ht="31.5" x14ac:dyDescent="0.2">
      <c r="A35" s="13" t="s">
        <v>25</v>
      </c>
      <c r="B35" s="33"/>
      <c r="C35" s="33"/>
      <c r="D35" s="67"/>
      <c r="E35" s="33"/>
      <c r="F35" s="67"/>
      <c r="G35" s="33"/>
      <c r="H35" s="67"/>
      <c r="I35" s="33"/>
      <c r="J35" s="67"/>
    </row>
    <row r="36" spans="1:10" s="16" customFormat="1" ht="31.5" x14ac:dyDescent="0.2">
      <c r="A36" s="13" t="s">
        <v>24</v>
      </c>
      <c r="B36" s="33">
        <v>-3190.64</v>
      </c>
      <c r="C36" s="33"/>
      <c r="D36" s="67"/>
      <c r="E36" s="33"/>
      <c r="F36" s="67"/>
      <c r="G36" s="33"/>
      <c r="H36" s="67"/>
      <c r="I36" s="33"/>
      <c r="J36" s="67"/>
    </row>
    <row r="37" spans="1:10" s="16" customFormat="1" hidden="1" x14ac:dyDescent="0.2">
      <c r="A37" s="17"/>
      <c r="B37" s="36"/>
      <c r="C37" s="36"/>
      <c r="D37" s="66"/>
      <c r="E37" s="36"/>
      <c r="F37" s="66"/>
      <c r="G37" s="37"/>
      <c r="H37" s="66"/>
      <c r="I37" s="37"/>
      <c r="J37" s="66"/>
    </row>
    <row r="38" spans="1:10" s="16" customFormat="1" x14ac:dyDescent="0.2">
      <c r="A38" s="15" t="s">
        <v>23</v>
      </c>
      <c r="B38" s="38">
        <f>B39+B36</f>
        <v>200869.87999999998</v>
      </c>
      <c r="C38" s="38">
        <f>C39+C36</f>
        <v>173106.52900000001</v>
      </c>
      <c r="D38" s="67">
        <f t="shared" ref="D38:D39" si="4">C38/B38%</f>
        <v>86.178439993094059</v>
      </c>
      <c r="E38" s="38">
        <f>E39+E36</f>
        <v>171591.17</v>
      </c>
      <c r="F38" s="67">
        <f t="shared" si="3"/>
        <v>99.124608985718851</v>
      </c>
      <c r="G38" s="38">
        <f>G39+G36</f>
        <v>235322.13399999999</v>
      </c>
      <c r="H38" s="67">
        <f t="shared" si="3"/>
        <v>137.14116757872796</v>
      </c>
      <c r="I38" s="38">
        <f>I39+I36</f>
        <v>233452.09100000004</v>
      </c>
      <c r="J38" s="67">
        <f t="shared" si="3"/>
        <v>99.205326346394614</v>
      </c>
    </row>
    <row r="39" spans="1:10" s="16" customFormat="1" ht="31.5" x14ac:dyDescent="0.2">
      <c r="A39" s="17" t="s">
        <v>22</v>
      </c>
      <c r="B39" s="38">
        <f>B41+B44+B56+B67</f>
        <v>204060.52</v>
      </c>
      <c r="C39" s="38">
        <f>C41+C44+C56+C67</f>
        <v>173106.52900000001</v>
      </c>
      <c r="D39" s="67">
        <f t="shared" si="4"/>
        <v>84.830975144040607</v>
      </c>
      <c r="E39" s="38">
        <f>E41+E44+E56+E67</f>
        <v>171591.17</v>
      </c>
      <c r="F39" s="67">
        <f t="shared" si="3"/>
        <v>99.124608985718851</v>
      </c>
      <c r="G39" s="38">
        <f>G41+G44+G56+G67</f>
        <v>235322.13399999999</v>
      </c>
      <c r="H39" s="67">
        <f t="shared" si="3"/>
        <v>137.14116757872796</v>
      </c>
      <c r="I39" s="38">
        <f>I41+I44+I56+I67</f>
        <v>233452.09100000004</v>
      </c>
      <c r="J39" s="67">
        <f t="shared" si="3"/>
        <v>99.205326346394614</v>
      </c>
    </row>
    <row r="40" spans="1:10" s="16" customFormat="1" x14ac:dyDescent="0.2">
      <c r="A40" s="17" t="s">
        <v>21</v>
      </c>
      <c r="B40" s="106"/>
      <c r="C40" s="94"/>
      <c r="D40" s="61"/>
      <c r="E40" s="36"/>
      <c r="F40" s="61"/>
      <c r="G40" s="36"/>
      <c r="H40" s="61"/>
      <c r="I40" s="36"/>
      <c r="J40" s="61"/>
    </row>
    <row r="41" spans="1:10" s="20" customFormat="1" x14ac:dyDescent="0.2">
      <c r="A41" s="19" t="s">
        <v>20</v>
      </c>
      <c r="B41" s="107">
        <f>SUM(B42:B43)</f>
        <v>40432.5</v>
      </c>
      <c r="C41" s="95">
        <f>SUM(C42:C43)</f>
        <v>34684.5</v>
      </c>
      <c r="D41" s="60">
        <f t="shared" ref="D41:D68" si="5">C41/B41%</f>
        <v>85.783713596735296</v>
      </c>
      <c r="E41" s="39">
        <f>SUM(E42:E43)</f>
        <v>33235</v>
      </c>
      <c r="F41" s="60">
        <f t="shared" ref="F41:J69" si="6">E41/C41%</f>
        <v>95.820899825570493</v>
      </c>
      <c r="G41" s="39">
        <f>SUM(G42:G43)</f>
        <v>25826.9</v>
      </c>
      <c r="H41" s="60">
        <f t="shared" si="6"/>
        <v>77.709944335790581</v>
      </c>
      <c r="I41" s="39">
        <f>SUM(I42:I43)</f>
        <v>25393.200000000001</v>
      </c>
      <c r="J41" s="60">
        <f t="shared" si="6"/>
        <v>98.320743101185201</v>
      </c>
    </row>
    <row r="42" spans="1:10" s="16" customFormat="1" x14ac:dyDescent="0.2">
      <c r="A42" s="17" t="s">
        <v>19</v>
      </c>
      <c r="B42" s="106">
        <v>30983.3</v>
      </c>
      <c r="C42" s="94">
        <f>30773+3824</f>
        <v>34597</v>
      </c>
      <c r="D42" s="61">
        <f t="shared" si="5"/>
        <v>111.66337994984396</v>
      </c>
      <c r="E42" s="36">
        <v>33102</v>
      </c>
      <c r="F42" s="61">
        <f>E42/C42%</f>
        <v>95.678816082319273</v>
      </c>
      <c r="G42" s="36">
        <v>25621</v>
      </c>
      <c r="H42" s="61">
        <f t="shared" si="6"/>
        <v>77.400157090206037</v>
      </c>
      <c r="I42" s="36">
        <v>25191</v>
      </c>
      <c r="J42" s="61">
        <f t="shared" si="6"/>
        <v>98.321689239295893</v>
      </c>
    </row>
    <row r="43" spans="1:10" s="16" customFormat="1" x14ac:dyDescent="0.2">
      <c r="A43" s="17" t="s">
        <v>18</v>
      </c>
      <c r="B43" s="106">
        <v>9449.2000000000007</v>
      </c>
      <c r="C43" s="94">
        <f>79+8.5</f>
        <v>87.5</v>
      </c>
      <c r="D43" s="61">
        <f t="shared" si="5"/>
        <v>0.92600431782584769</v>
      </c>
      <c r="E43" s="36">
        <v>133</v>
      </c>
      <c r="F43" s="61">
        <f t="shared" si="6"/>
        <v>152</v>
      </c>
      <c r="G43" s="40">
        <v>205.9</v>
      </c>
      <c r="H43" s="61">
        <f t="shared" si="6"/>
        <v>154.81203007518798</v>
      </c>
      <c r="I43" s="40">
        <v>202.2</v>
      </c>
      <c r="J43" s="61">
        <f t="shared" si="6"/>
        <v>98.203011170471086</v>
      </c>
    </row>
    <row r="44" spans="1:10" s="20" customFormat="1" ht="31.5" x14ac:dyDescent="0.2">
      <c r="A44" s="17" t="s">
        <v>56</v>
      </c>
      <c r="B44" s="108">
        <f>SUM(B45:B50)</f>
        <v>23376.277000000002</v>
      </c>
      <c r="C44" s="93">
        <f>SUM(C45:C50)</f>
        <v>18878.349999999999</v>
      </c>
      <c r="D44" s="62">
        <f t="shared" si="5"/>
        <v>80.758582728977743</v>
      </c>
      <c r="E44" s="38">
        <f>SUM(E45:E55)</f>
        <v>17184.270000000004</v>
      </c>
      <c r="F44" s="62">
        <f t="shared" si="6"/>
        <v>91.026334398927901</v>
      </c>
      <c r="G44" s="38">
        <f>SUM(G45:G55)</f>
        <v>11912.934000000001</v>
      </c>
      <c r="H44" s="38">
        <f>SUM(H45:H55)</f>
        <v>460.20606289642376</v>
      </c>
      <c r="I44" s="38">
        <f>SUM(I45:I55)</f>
        <v>11830.891</v>
      </c>
      <c r="J44" s="62">
        <f t="shared" si="6"/>
        <v>99.311311554315651</v>
      </c>
    </row>
    <row r="45" spans="1:10" s="20" customFormat="1" ht="57.75" customHeight="1" x14ac:dyDescent="0.2">
      <c r="A45" s="77" t="s">
        <v>92</v>
      </c>
      <c r="B45" s="109">
        <v>11702.790999999999</v>
      </c>
      <c r="C45" s="93">
        <v>128</v>
      </c>
      <c r="D45" s="61">
        <v>0</v>
      </c>
      <c r="E45" s="36">
        <v>316.8</v>
      </c>
      <c r="F45" s="61">
        <v>95.309769902793164</v>
      </c>
      <c r="G45" s="36">
        <v>316.76</v>
      </c>
      <c r="H45" s="61">
        <v>95.309769902793164</v>
      </c>
      <c r="I45" s="36">
        <v>316.73</v>
      </c>
      <c r="J45" s="61">
        <f>I45/G45%</f>
        <v>99.99052910721052</v>
      </c>
    </row>
    <row r="46" spans="1:10" s="20" customFormat="1" ht="38.25" x14ac:dyDescent="0.2">
      <c r="A46" s="77" t="s">
        <v>74</v>
      </c>
      <c r="B46" s="110">
        <v>2765.973</v>
      </c>
      <c r="C46" s="94">
        <v>2458</v>
      </c>
      <c r="D46" s="61">
        <f t="shared" si="5"/>
        <v>88.865654147744749</v>
      </c>
      <c r="E46" s="36">
        <v>2198</v>
      </c>
      <c r="F46" s="61">
        <f>E46/C46%</f>
        <v>89.422294548413348</v>
      </c>
      <c r="G46" s="36">
        <v>1198.4000000000001</v>
      </c>
      <c r="H46" s="61">
        <f>G46/E46%</f>
        <v>54.522292993630579</v>
      </c>
      <c r="I46" s="36">
        <v>1198.4000000000001</v>
      </c>
      <c r="J46" s="61">
        <f>I46/G46%</f>
        <v>99.999999999999986</v>
      </c>
    </row>
    <row r="47" spans="1:10" s="20" customFormat="1" ht="25.5" x14ac:dyDescent="0.2">
      <c r="A47" s="78" t="s">
        <v>75</v>
      </c>
      <c r="B47" s="111">
        <v>1992.29</v>
      </c>
      <c r="C47" s="94">
        <f>1943+1295.35</f>
        <v>3238.35</v>
      </c>
      <c r="D47" s="58">
        <v>0</v>
      </c>
      <c r="E47" s="36">
        <v>1363.9</v>
      </c>
      <c r="F47" s="61">
        <v>0</v>
      </c>
      <c r="G47" s="36">
        <v>1363.9</v>
      </c>
      <c r="H47" s="61">
        <v>0</v>
      </c>
      <c r="I47" s="36">
        <v>1363.9</v>
      </c>
      <c r="J47" s="61">
        <v>0</v>
      </c>
    </row>
    <row r="48" spans="1:10" s="20" customFormat="1" ht="25.5" x14ac:dyDescent="0.2">
      <c r="A48" s="79" t="s">
        <v>76</v>
      </c>
      <c r="B48" s="112">
        <v>1009.999</v>
      </c>
      <c r="C48" s="94"/>
      <c r="D48" s="61">
        <f>C48/B48%</f>
        <v>0</v>
      </c>
      <c r="E48" s="36">
        <v>2021</v>
      </c>
      <c r="F48" s="61"/>
      <c r="G48" s="36">
        <v>0</v>
      </c>
      <c r="H48" s="61">
        <f>G48/E48%</f>
        <v>0</v>
      </c>
      <c r="I48" s="36">
        <v>0</v>
      </c>
      <c r="J48" s="61"/>
    </row>
    <row r="49" spans="1:10" s="20" customFormat="1" ht="26.25" customHeight="1" x14ac:dyDescent="0.2">
      <c r="A49" s="79" t="s">
        <v>93</v>
      </c>
      <c r="B49" s="112"/>
      <c r="C49" s="94">
        <v>5254.5</v>
      </c>
      <c r="D49" s="61"/>
      <c r="E49" s="36">
        <v>965.1</v>
      </c>
      <c r="F49" s="61"/>
      <c r="G49" s="36">
        <v>1060.8</v>
      </c>
      <c r="H49" s="61"/>
      <c r="I49" s="36">
        <v>1112.3</v>
      </c>
      <c r="J49" s="61">
        <f>I49/G49%</f>
        <v>104.85482654600303</v>
      </c>
    </row>
    <row r="50" spans="1:10" s="20" customFormat="1" x14ac:dyDescent="0.2">
      <c r="A50" s="80" t="s">
        <v>77</v>
      </c>
      <c r="B50" s="112">
        <f>SUM(B51:B55)</f>
        <v>5905.2240000000002</v>
      </c>
      <c r="C50" s="94">
        <f>C52+C53</f>
        <v>7799.5</v>
      </c>
      <c r="D50" s="58">
        <f>C50/B50%</f>
        <v>132.07797028529313</v>
      </c>
      <c r="E50" s="36"/>
      <c r="F50" s="58">
        <f>E50/C50%</f>
        <v>0</v>
      </c>
      <c r="G50" s="36"/>
      <c r="H50" s="58"/>
      <c r="I50" s="36"/>
      <c r="J50" s="58"/>
    </row>
    <row r="51" spans="1:10" s="20" customFormat="1" ht="25.5" x14ac:dyDescent="0.2">
      <c r="A51" s="79" t="s">
        <v>97</v>
      </c>
      <c r="B51" s="113"/>
      <c r="C51" s="94"/>
      <c r="D51" s="58">
        <v>0</v>
      </c>
      <c r="E51" s="36">
        <v>401</v>
      </c>
      <c r="F51" s="58">
        <v>0</v>
      </c>
      <c r="G51" s="36">
        <v>310.37400000000002</v>
      </c>
      <c r="H51" s="36">
        <v>310.37400000000002</v>
      </c>
      <c r="I51" s="36">
        <v>305.161</v>
      </c>
      <c r="J51" s="58">
        <v>0</v>
      </c>
    </row>
    <row r="52" spans="1:10" s="20" customFormat="1" ht="25.5" x14ac:dyDescent="0.2">
      <c r="A52" s="79" t="s">
        <v>78</v>
      </c>
      <c r="B52" s="113">
        <v>176.5</v>
      </c>
      <c r="C52" s="94">
        <v>176.5</v>
      </c>
      <c r="D52" s="58"/>
      <c r="E52" s="36"/>
      <c r="F52" s="58"/>
      <c r="G52" s="36"/>
      <c r="H52" s="58"/>
      <c r="I52" s="36"/>
      <c r="J52" s="58"/>
    </row>
    <row r="53" spans="1:10" s="20" customFormat="1" ht="63.75" customHeight="1" x14ac:dyDescent="0.2">
      <c r="A53" s="81" t="s">
        <v>79</v>
      </c>
      <c r="B53" s="113">
        <v>5181.6729999999998</v>
      </c>
      <c r="C53" s="94">
        <v>7623</v>
      </c>
      <c r="D53" s="58">
        <v>0</v>
      </c>
      <c r="E53" s="36">
        <v>9873</v>
      </c>
      <c r="F53" s="58">
        <v>0</v>
      </c>
      <c r="G53" s="36">
        <v>7641.7</v>
      </c>
      <c r="H53" s="58">
        <v>0</v>
      </c>
      <c r="I53" s="36">
        <v>7513.4</v>
      </c>
      <c r="J53" s="58">
        <v>0</v>
      </c>
    </row>
    <row r="54" spans="1:10" s="20" customFormat="1" ht="43.5" customHeight="1" x14ac:dyDescent="0.2">
      <c r="A54" s="81" t="s">
        <v>96</v>
      </c>
      <c r="B54" s="113"/>
      <c r="C54" s="94"/>
      <c r="D54" s="58"/>
      <c r="E54" s="36">
        <v>45.47</v>
      </c>
      <c r="F54" s="58"/>
      <c r="G54" s="36">
        <v>21</v>
      </c>
      <c r="H54" s="58"/>
      <c r="I54" s="36">
        <v>21</v>
      </c>
      <c r="J54" s="58"/>
    </row>
    <row r="55" spans="1:10" s="20" customFormat="1" ht="32.25" customHeight="1" x14ac:dyDescent="0.2">
      <c r="A55" s="81" t="s">
        <v>80</v>
      </c>
      <c r="B55" s="113">
        <v>547.05100000000004</v>
      </c>
      <c r="C55" s="94"/>
      <c r="D55" s="58">
        <v>0</v>
      </c>
      <c r="E55" s="36"/>
      <c r="F55" s="58">
        <v>0</v>
      </c>
      <c r="G55" s="36"/>
      <c r="H55" s="58">
        <v>0</v>
      </c>
      <c r="I55" s="36"/>
      <c r="J55" s="58">
        <v>0</v>
      </c>
    </row>
    <row r="56" spans="1:10" s="20" customFormat="1" ht="31.5" x14ac:dyDescent="0.2">
      <c r="A56" s="17" t="s">
        <v>57</v>
      </c>
      <c r="B56" s="114">
        <f>SUM(B57:B65)</f>
        <v>135935.31299999999</v>
      </c>
      <c r="C56" s="93">
        <f>SUM(C57:C65)</f>
        <v>115016.47900000001</v>
      </c>
      <c r="D56" s="62">
        <f t="shared" si="5"/>
        <v>84.611184880267288</v>
      </c>
      <c r="E56" s="38">
        <f>SUM(E57:E65)</f>
        <v>117017.7</v>
      </c>
      <c r="F56" s="62">
        <f t="shared" si="6"/>
        <v>101.73994284766793</v>
      </c>
      <c r="G56" s="38">
        <f>SUM(G57:G65)</f>
        <v>193693.9</v>
      </c>
      <c r="H56" s="62">
        <f>SUM(H57:H68)</f>
        <v>626.27478180610115</v>
      </c>
      <c r="I56" s="38">
        <f>SUM(I57:I65)</f>
        <v>192344.60000000003</v>
      </c>
      <c r="J56" s="62">
        <f t="shared" si="6"/>
        <v>99.30338539313837</v>
      </c>
    </row>
    <row r="57" spans="1:10" s="20" customFormat="1" ht="47.25" x14ac:dyDescent="0.2">
      <c r="A57" s="17" t="s">
        <v>58</v>
      </c>
      <c r="B57" s="106">
        <v>2025.65</v>
      </c>
      <c r="C57" s="94">
        <f>1995+71.5</f>
        <v>2066.5</v>
      </c>
      <c r="D57" s="58">
        <f t="shared" si="5"/>
        <v>102.01663663515413</v>
      </c>
      <c r="E57" s="36">
        <v>2556</v>
      </c>
      <c r="F57" s="58">
        <f t="shared" si="6"/>
        <v>123.68739414468909</v>
      </c>
      <c r="G57" s="36">
        <v>1978.3</v>
      </c>
      <c r="H57" s="58">
        <f t="shared" si="6"/>
        <v>77.39827856025039</v>
      </c>
      <c r="I57" s="36">
        <v>1945.1</v>
      </c>
      <c r="J57" s="58">
        <f t="shared" si="6"/>
        <v>98.321791437092443</v>
      </c>
    </row>
    <row r="58" spans="1:10" s="20" customFormat="1" ht="35.25" customHeight="1" x14ac:dyDescent="0.2">
      <c r="A58" s="17" t="s">
        <v>59</v>
      </c>
      <c r="B58" s="106">
        <v>86280.3</v>
      </c>
      <c r="C58" s="94">
        <f>84308.7+3004.27</f>
        <v>87312.97</v>
      </c>
      <c r="D58" s="58">
        <f t="shared" si="5"/>
        <v>101.19687808225052</v>
      </c>
      <c r="E58" s="36">
        <f>109467.2+3510.8</f>
        <v>112978</v>
      </c>
      <c r="F58" s="58">
        <f t="shared" si="6"/>
        <v>129.39429273795176</v>
      </c>
      <c r="G58" s="36">
        <f>186808.4+3424.1</f>
        <v>190232.5</v>
      </c>
      <c r="H58" s="58"/>
      <c r="I58" s="36">
        <f>185384.6+3366.7</f>
        <v>188751.30000000002</v>
      </c>
      <c r="J58" s="58">
        <f t="shared" si="6"/>
        <v>99.221373845163157</v>
      </c>
    </row>
    <row r="59" spans="1:10" s="20" customFormat="1" ht="38.25" x14ac:dyDescent="0.2">
      <c r="A59" s="82" t="s">
        <v>81</v>
      </c>
      <c r="B59" s="112">
        <v>6982.1289999999999</v>
      </c>
      <c r="C59" s="96">
        <f>6095.96+356.699</f>
        <v>6452.6589999999997</v>
      </c>
      <c r="D59" s="58">
        <f t="shared" si="5"/>
        <v>92.41678290389649</v>
      </c>
      <c r="E59" s="36">
        <v>42.7</v>
      </c>
      <c r="F59" s="58">
        <f t="shared" si="6"/>
        <v>0.66174270172962812</v>
      </c>
      <c r="G59" s="36">
        <v>0</v>
      </c>
      <c r="H59" s="58">
        <f t="shared" si="6"/>
        <v>0</v>
      </c>
      <c r="I59" s="36">
        <v>0</v>
      </c>
      <c r="J59" s="58"/>
    </row>
    <row r="60" spans="1:10" s="20" customFormat="1" ht="38.25" x14ac:dyDescent="0.2">
      <c r="A60" s="81" t="s">
        <v>82</v>
      </c>
      <c r="B60" s="110">
        <v>39.298999999999999</v>
      </c>
      <c r="C60" s="94">
        <v>4</v>
      </c>
      <c r="D60" s="58">
        <f t="shared" si="5"/>
        <v>10.178376040102801</v>
      </c>
      <c r="E60" s="36">
        <v>6</v>
      </c>
      <c r="F60" s="58">
        <f t="shared" si="6"/>
        <v>150</v>
      </c>
      <c r="G60" s="36">
        <v>6</v>
      </c>
      <c r="H60" s="58">
        <f t="shared" si="6"/>
        <v>100</v>
      </c>
      <c r="I60" s="36">
        <v>321.60000000000002</v>
      </c>
      <c r="J60" s="58">
        <f t="shared" si="6"/>
        <v>5360.0000000000009</v>
      </c>
    </row>
    <row r="61" spans="1:10" s="20" customFormat="1" ht="25.5" x14ac:dyDescent="0.2">
      <c r="A61" s="78" t="s">
        <v>83</v>
      </c>
      <c r="B61" s="110">
        <v>31440.5</v>
      </c>
      <c r="C61" s="94">
        <v>17036.25</v>
      </c>
      <c r="D61" s="58">
        <f t="shared" si="5"/>
        <v>54.185684069909833</v>
      </c>
      <c r="E61" s="36"/>
      <c r="F61" s="58">
        <f t="shared" si="6"/>
        <v>0</v>
      </c>
      <c r="G61" s="36">
        <v>0</v>
      </c>
      <c r="H61" s="58"/>
      <c r="I61" s="36">
        <v>0</v>
      </c>
      <c r="J61" s="58"/>
    </row>
    <row r="62" spans="1:10" s="20" customFormat="1" ht="25.5" x14ac:dyDescent="0.2">
      <c r="A62" s="83" t="s">
        <v>84</v>
      </c>
      <c r="B62" s="110">
        <v>2158</v>
      </c>
      <c r="C62" s="94">
        <v>1897.3</v>
      </c>
      <c r="D62" s="58">
        <f t="shared" si="5"/>
        <v>87.919369786839667</v>
      </c>
      <c r="E62" s="36">
        <v>1400</v>
      </c>
      <c r="F62" s="58">
        <f t="shared" si="6"/>
        <v>73.789068676540353</v>
      </c>
      <c r="G62" s="36">
        <v>1450</v>
      </c>
      <c r="H62" s="58">
        <f t="shared" si="6"/>
        <v>103.57142857142857</v>
      </c>
      <c r="I62" s="36">
        <v>1300</v>
      </c>
      <c r="J62" s="58">
        <f t="shared" si="6"/>
        <v>89.65517241379311</v>
      </c>
    </row>
    <row r="63" spans="1:10" s="20" customFormat="1" ht="38.25" x14ac:dyDescent="0.2">
      <c r="A63" s="81" t="s">
        <v>85</v>
      </c>
      <c r="B63" s="110">
        <v>6811.6350000000002</v>
      </c>
      <c r="C63" s="96"/>
      <c r="D63" s="58">
        <f t="shared" si="5"/>
        <v>0</v>
      </c>
      <c r="E63" s="36">
        <v>35</v>
      </c>
      <c r="F63" s="58"/>
      <c r="G63" s="36">
        <v>27.1</v>
      </c>
      <c r="H63" s="58">
        <f t="shared" si="6"/>
        <v>77.428571428571431</v>
      </c>
      <c r="I63" s="36">
        <v>26.6</v>
      </c>
      <c r="J63" s="58">
        <f t="shared" si="6"/>
        <v>98.154981549815503</v>
      </c>
    </row>
    <row r="64" spans="1:10" s="16" customFormat="1" ht="27.75" customHeight="1" x14ac:dyDescent="0.2">
      <c r="A64" s="81" t="s">
        <v>86</v>
      </c>
      <c r="B64" s="110">
        <v>197.8</v>
      </c>
      <c r="C64" s="94">
        <v>246.8</v>
      </c>
      <c r="D64" s="58">
        <f t="shared" si="5"/>
        <v>124.77249747219413</v>
      </c>
      <c r="E64" s="36">
        <v>0</v>
      </c>
      <c r="F64" s="58">
        <f t="shared" si="6"/>
        <v>0</v>
      </c>
      <c r="G64" s="36"/>
      <c r="H64" s="58">
        <v>0</v>
      </c>
      <c r="I64" s="36"/>
      <c r="J64" s="58">
        <v>0</v>
      </c>
    </row>
    <row r="65" spans="1:12" s="16" customFormat="1" ht="38.25" hidden="1" x14ac:dyDescent="0.2">
      <c r="A65" s="81" t="s">
        <v>87</v>
      </c>
      <c r="B65" s="110"/>
      <c r="C65" s="94"/>
      <c r="D65" s="58" t="e">
        <f t="shared" si="5"/>
        <v>#DIV/0!</v>
      </c>
      <c r="E65" s="36"/>
      <c r="F65" s="58" t="e">
        <f t="shared" si="6"/>
        <v>#DIV/0!</v>
      </c>
      <c r="G65" s="36"/>
      <c r="H65" s="58"/>
      <c r="I65" s="36"/>
      <c r="J65" s="58" t="e">
        <f t="shared" si="6"/>
        <v>#DIV/0!</v>
      </c>
    </row>
    <row r="66" spans="1:12" s="16" customFormat="1" ht="38.25" x14ac:dyDescent="0.2">
      <c r="A66" s="81" t="s">
        <v>88</v>
      </c>
      <c r="B66" s="113">
        <v>-3190.663</v>
      </c>
      <c r="C66" s="94"/>
      <c r="D66" s="58"/>
      <c r="E66" s="36"/>
      <c r="F66" s="58"/>
      <c r="G66" s="36"/>
      <c r="H66" s="58"/>
      <c r="I66" s="36"/>
      <c r="J66" s="58"/>
    </row>
    <row r="67" spans="1:12" s="16" customFormat="1" x14ac:dyDescent="0.2">
      <c r="A67" s="81" t="s">
        <v>67</v>
      </c>
      <c r="B67" s="115">
        <f>B68+B69</f>
        <v>4316.43</v>
      </c>
      <c r="C67" s="93">
        <f>SUM(C68:C69)</f>
        <v>4527.2</v>
      </c>
      <c r="D67" s="38">
        <f t="shared" ref="D67:J67" si="7">SUM(D68:D69)</f>
        <v>104.46358283431746</v>
      </c>
      <c r="E67" s="38">
        <f t="shared" si="7"/>
        <v>4154.2</v>
      </c>
      <c r="F67" s="38">
        <f t="shared" si="7"/>
        <v>150.08861832065949</v>
      </c>
      <c r="G67" s="38">
        <f t="shared" si="7"/>
        <v>3888.4</v>
      </c>
      <c r="H67" s="38">
        <f t="shared" si="7"/>
        <v>172.63903902450016</v>
      </c>
      <c r="I67" s="38">
        <f t="shared" si="7"/>
        <v>3883.4</v>
      </c>
      <c r="J67" s="38">
        <f t="shared" si="7"/>
        <v>198.30451000339099</v>
      </c>
    </row>
    <row r="68" spans="1:12" s="16" customFormat="1" ht="51" x14ac:dyDescent="0.2">
      <c r="A68" s="77" t="s">
        <v>89</v>
      </c>
      <c r="B68" s="113">
        <v>3601.2550000000001</v>
      </c>
      <c r="C68" s="94">
        <v>3762</v>
      </c>
      <c r="D68" s="58">
        <f t="shared" si="5"/>
        <v>104.46358283431746</v>
      </c>
      <c r="E68" s="36">
        <v>3773.2</v>
      </c>
      <c r="F68" s="58">
        <f t="shared" si="6"/>
        <v>100.29771398192452</v>
      </c>
      <c r="G68" s="36">
        <v>3593.5</v>
      </c>
      <c r="H68" s="58">
        <f t="shared" si="6"/>
        <v>95.237464221350578</v>
      </c>
      <c r="I68" s="36">
        <v>3593.5</v>
      </c>
      <c r="J68" s="58">
        <f t="shared" si="6"/>
        <v>100</v>
      </c>
    </row>
    <row r="69" spans="1:12" s="16" customFormat="1" ht="38.25" x14ac:dyDescent="0.2">
      <c r="A69" s="77" t="s">
        <v>90</v>
      </c>
      <c r="B69" s="113">
        <v>715.17499999999995</v>
      </c>
      <c r="C69" s="94">
        <v>765.2</v>
      </c>
      <c r="D69" s="58">
        <v>0</v>
      </c>
      <c r="E69" s="36">
        <v>381</v>
      </c>
      <c r="F69" s="58">
        <f t="shared" si="6"/>
        <v>49.790904338734968</v>
      </c>
      <c r="G69" s="36">
        <v>294.89999999999998</v>
      </c>
      <c r="H69" s="58">
        <f t="shared" si="6"/>
        <v>77.4015748031496</v>
      </c>
      <c r="I69" s="36">
        <v>289.89999999999998</v>
      </c>
      <c r="J69" s="58">
        <f t="shared" si="6"/>
        <v>98.304510003390973</v>
      </c>
    </row>
    <row r="70" spans="1:12" s="16" customFormat="1" ht="31.5" x14ac:dyDescent="0.2">
      <c r="A70" s="17" t="s">
        <v>16</v>
      </c>
      <c r="B70" s="18"/>
      <c r="C70" s="36"/>
      <c r="D70" s="67"/>
      <c r="E70" s="36"/>
      <c r="F70" s="67"/>
      <c r="G70" s="36"/>
      <c r="H70" s="67"/>
      <c r="I70" s="36"/>
      <c r="J70" s="67"/>
    </row>
    <row r="71" spans="1:12" s="14" customFormat="1" x14ac:dyDescent="0.2">
      <c r="A71" s="15" t="s">
        <v>15</v>
      </c>
      <c r="B71" s="38">
        <f>B33+B38</f>
        <v>245123.51499999996</v>
      </c>
      <c r="C71" s="38">
        <f>C33+C38</f>
        <v>213264.52900000001</v>
      </c>
      <c r="D71" s="66">
        <f>C71/B71%</f>
        <v>87.002884647766265</v>
      </c>
      <c r="E71" s="38">
        <f>E33+E38</f>
        <v>212894.17</v>
      </c>
      <c r="F71" s="66">
        <f>E71/D71%</f>
        <v>244697.8291144119</v>
      </c>
      <c r="G71" s="38">
        <f>G33+G38</f>
        <v>278829.13399999996</v>
      </c>
      <c r="H71" s="67">
        <f t="shared" ref="H71" si="8">G71/E71%</f>
        <v>130.97077012489348</v>
      </c>
      <c r="I71" s="38">
        <f>I33+I38</f>
        <v>279530.09100000001</v>
      </c>
      <c r="J71" s="67">
        <f t="shared" ref="J71" si="9">I71/G71%</f>
        <v>100.2513930269568</v>
      </c>
    </row>
    <row r="72" spans="1:12" s="12" customFormat="1" ht="6.75" customHeight="1" x14ac:dyDescent="0.2">
      <c r="A72" s="13"/>
      <c r="B72" s="34"/>
      <c r="C72" s="44"/>
      <c r="D72" s="67"/>
      <c r="E72" s="44"/>
      <c r="F72" s="67"/>
      <c r="G72" s="34"/>
      <c r="H72" s="67"/>
      <c r="I72" s="34"/>
      <c r="J72" s="67"/>
      <c r="K72" s="69"/>
      <c r="L72" s="69"/>
    </row>
    <row r="73" spans="1:12" s="6" customFormat="1" x14ac:dyDescent="0.2">
      <c r="A73" s="5" t="s">
        <v>14</v>
      </c>
      <c r="B73" s="34">
        <f>B34+B71-B91</f>
        <v>7464.2116499998956</v>
      </c>
      <c r="C73" s="34">
        <f>C34+C71-C91+C90</f>
        <v>-1.9923800000979099</v>
      </c>
      <c r="D73" s="66"/>
      <c r="E73" s="34">
        <f>E34+E71-E91+E90</f>
        <v>-1990.6300000000156</v>
      </c>
      <c r="F73" s="66"/>
      <c r="G73" s="34">
        <f>G34+G71-G91+G90</f>
        <v>3.3999999963270966E-2</v>
      </c>
      <c r="H73" s="66"/>
      <c r="I73" s="34">
        <f>I34+I71-I91+I90</f>
        <v>-8.9999998926941771E-3</v>
      </c>
      <c r="J73" s="66"/>
    </row>
    <row r="74" spans="1:12" s="6" customFormat="1" x14ac:dyDescent="0.2">
      <c r="A74" s="9" t="s">
        <v>13</v>
      </c>
      <c r="B74" s="44">
        <f>B71/B33</f>
        <v>5.5390594467550516</v>
      </c>
      <c r="C74" s="34"/>
      <c r="D74" s="67"/>
      <c r="E74" s="33"/>
      <c r="F74" s="67"/>
      <c r="G74" s="33"/>
      <c r="H74" s="67"/>
      <c r="I74" s="33"/>
      <c r="J74" s="67"/>
    </row>
    <row r="75" spans="1:12" s="6" customFormat="1" ht="4.5" customHeight="1" x14ac:dyDescent="0.2">
      <c r="A75" s="11"/>
      <c r="B75" s="33"/>
      <c r="C75" s="34"/>
      <c r="D75" s="67"/>
      <c r="E75" s="33"/>
      <c r="F75" s="67"/>
      <c r="G75" s="33"/>
      <c r="H75" s="67"/>
      <c r="I75" s="33"/>
      <c r="J75" s="67"/>
    </row>
    <row r="76" spans="1:12" s="6" customFormat="1" x14ac:dyDescent="0.2">
      <c r="A76" s="10" t="s">
        <v>12</v>
      </c>
      <c r="B76" s="33"/>
      <c r="C76" s="33"/>
      <c r="D76" s="67"/>
      <c r="E76" s="45"/>
      <c r="F76" s="67"/>
      <c r="G76" s="33"/>
      <c r="H76" s="67"/>
      <c r="I76" s="33"/>
      <c r="J76" s="67"/>
    </row>
    <row r="77" spans="1:12" s="6" customFormat="1" x14ac:dyDescent="0.2">
      <c r="A77" s="5" t="s">
        <v>11</v>
      </c>
      <c r="B77" s="70">
        <v>33391.53</v>
      </c>
      <c r="C77" s="98">
        <f>20787.99018+3824+8949</f>
        <v>33560.990180000001</v>
      </c>
      <c r="D77" s="61">
        <f t="shared" ref="D77:D90" si="10">C77/B77%</f>
        <v>100.50749450534312</v>
      </c>
      <c r="E77" s="33">
        <f>18761.9+6965.5+1819.2</f>
        <v>27546.600000000002</v>
      </c>
      <c r="F77" s="61">
        <f t="shared" ref="F77:J90" si="11">E77/C77%</f>
        <v>82.079223086855905</v>
      </c>
      <c r="G77" s="33">
        <f>17712+6679.4+1884.2</f>
        <v>26275.600000000002</v>
      </c>
      <c r="H77" s="61">
        <f t="shared" si="11"/>
        <v>95.386000450146298</v>
      </c>
      <c r="I77" s="33">
        <f>18018.4+6735.1+1924.2</f>
        <v>26677.7</v>
      </c>
      <c r="J77" s="61">
        <f t="shared" si="11"/>
        <v>101.53031710027554</v>
      </c>
      <c r="K77" s="46"/>
    </row>
    <row r="78" spans="1:12" s="6" customFormat="1" x14ac:dyDescent="0.2">
      <c r="A78" s="5" t="s">
        <v>10</v>
      </c>
      <c r="B78" s="70">
        <v>197.8</v>
      </c>
      <c r="C78" s="98">
        <v>246.8</v>
      </c>
      <c r="D78" s="61">
        <f t="shared" si="10"/>
        <v>124.77249747219413</v>
      </c>
      <c r="E78" s="33">
        <v>0</v>
      </c>
      <c r="F78" s="61">
        <f t="shared" si="11"/>
        <v>0</v>
      </c>
      <c r="G78" s="45">
        <v>0</v>
      </c>
      <c r="H78" s="61">
        <v>0</v>
      </c>
      <c r="I78" s="45">
        <v>0</v>
      </c>
      <c r="J78" s="61">
        <v>0</v>
      </c>
      <c r="K78" s="46"/>
    </row>
    <row r="79" spans="1:12" s="6" customFormat="1" ht="31.5" x14ac:dyDescent="0.2">
      <c r="A79" s="9" t="s">
        <v>9</v>
      </c>
      <c r="B79" s="70">
        <v>3655.4</v>
      </c>
      <c r="C79" s="98">
        <v>3387.616</v>
      </c>
      <c r="D79" s="61">
        <f t="shared" si="10"/>
        <v>92.67429009137166</v>
      </c>
      <c r="E79" s="33">
        <f>2480.5+20</f>
        <v>2500.5</v>
      </c>
      <c r="F79" s="61">
        <f t="shared" si="11"/>
        <v>73.812970537392673</v>
      </c>
      <c r="G79" s="33">
        <v>2035.5</v>
      </c>
      <c r="H79" s="61">
        <f t="shared" si="11"/>
        <v>81.403719256148776</v>
      </c>
      <c r="I79" s="33">
        <v>2200.5</v>
      </c>
      <c r="J79" s="61">
        <f t="shared" si="11"/>
        <v>108.10611643330877</v>
      </c>
      <c r="K79" s="46"/>
    </row>
    <row r="80" spans="1:12" s="6" customFormat="1" x14ac:dyDescent="0.2">
      <c r="A80" s="5" t="s">
        <v>8</v>
      </c>
      <c r="B80" s="71">
        <v>36834.870000000003</v>
      </c>
      <c r="C80" s="98">
        <f>25606.66434+1675.96</f>
        <v>27282.624339999998</v>
      </c>
      <c r="D80" s="61">
        <f>C80/B80%</f>
        <v>74.06738327025451</v>
      </c>
      <c r="E80" s="45">
        <f>19298.7+2110.5</f>
        <v>21409.200000000001</v>
      </c>
      <c r="F80" s="61">
        <f t="shared" si="11"/>
        <v>78.471923130251184</v>
      </c>
      <c r="G80" s="33">
        <f>18154.7+2110.5</f>
        <v>20265.2</v>
      </c>
      <c r="H80" s="61">
        <v>124</v>
      </c>
      <c r="I80" s="33">
        <f>18343.1+2110.5</f>
        <v>20453.599999999999</v>
      </c>
      <c r="J80" s="61">
        <f t="shared" si="11"/>
        <v>100.92967254209185</v>
      </c>
      <c r="K80" s="46"/>
    </row>
    <row r="81" spans="1:215" s="6" customFormat="1" x14ac:dyDescent="0.2">
      <c r="A81" s="5" t="s">
        <v>7</v>
      </c>
      <c r="B81" s="71">
        <v>2201.3200000000002</v>
      </c>
      <c r="C81" s="98">
        <f>644.902+350</f>
        <v>994.90200000000004</v>
      </c>
      <c r="D81" s="61">
        <f t="shared" si="10"/>
        <v>45.195700761361365</v>
      </c>
      <c r="E81" s="33">
        <f>3210.3+700</f>
        <v>3910.3</v>
      </c>
      <c r="F81" s="61">
        <f>E81/C81%</f>
        <v>393.03368572985079</v>
      </c>
      <c r="G81" s="33">
        <v>21</v>
      </c>
      <c r="H81" s="61">
        <f t="shared" si="11"/>
        <v>0.53704319361685804</v>
      </c>
      <c r="I81" s="33">
        <v>21</v>
      </c>
      <c r="J81" s="61">
        <f t="shared" si="11"/>
        <v>100</v>
      </c>
      <c r="K81" s="46"/>
    </row>
    <row r="82" spans="1:215" s="6" customFormat="1" x14ac:dyDescent="0.2">
      <c r="A82" s="5" t="s">
        <v>6</v>
      </c>
      <c r="B82" s="71">
        <v>155.1</v>
      </c>
      <c r="C82" s="98">
        <v>175</v>
      </c>
      <c r="D82" s="61">
        <f t="shared" si="10"/>
        <v>112.83043197936816</v>
      </c>
      <c r="E82" s="33">
        <v>200</v>
      </c>
      <c r="F82" s="61">
        <f t="shared" si="11"/>
        <v>114.28571428571429</v>
      </c>
      <c r="G82" s="45">
        <v>0</v>
      </c>
      <c r="H82" s="61">
        <f t="shared" si="11"/>
        <v>0</v>
      </c>
      <c r="I82" s="45">
        <v>0</v>
      </c>
      <c r="J82" s="61">
        <v>0</v>
      </c>
      <c r="K82" s="46"/>
    </row>
    <row r="83" spans="1:215" s="6" customFormat="1" x14ac:dyDescent="0.2">
      <c r="A83" s="5" t="s">
        <v>5</v>
      </c>
      <c r="B83" s="71">
        <v>107005.6</v>
      </c>
      <c r="C83" s="98">
        <f>105379.51431+3071.5+10423.6</f>
        <v>118874.61431</v>
      </c>
      <c r="D83" s="61">
        <f t="shared" si="10"/>
        <v>111.09195622472095</v>
      </c>
      <c r="E83" s="45">
        <v>133333.6</v>
      </c>
      <c r="F83" s="61">
        <f t="shared" si="11"/>
        <v>112.16322406085288</v>
      </c>
      <c r="G83" s="33">
        <v>207030.2</v>
      </c>
      <c r="H83" s="61">
        <f t="shared" si="11"/>
        <v>155.27233945532109</v>
      </c>
      <c r="I83" s="33">
        <v>206227.8</v>
      </c>
      <c r="J83" s="61">
        <f t="shared" si="11"/>
        <v>99.612423694707331</v>
      </c>
      <c r="K83" s="46"/>
    </row>
    <row r="84" spans="1:215" s="6" customFormat="1" x14ac:dyDescent="0.2">
      <c r="A84" s="5" t="s">
        <v>61</v>
      </c>
      <c r="B84" s="71">
        <v>11780.995999999999</v>
      </c>
      <c r="C84" s="98">
        <v>1609.98</v>
      </c>
      <c r="D84" s="61">
        <f t="shared" si="10"/>
        <v>13.665907364708385</v>
      </c>
      <c r="E84" s="45">
        <f>2088.5+11632.5</f>
        <v>13721</v>
      </c>
      <c r="F84" s="61">
        <f t="shared" si="11"/>
        <v>852.24661175915219</v>
      </c>
      <c r="G84" s="33">
        <f>2088.5+11213.3</f>
        <v>13301.8</v>
      </c>
      <c r="H84" s="61">
        <f t="shared" si="11"/>
        <v>96.944829094089343</v>
      </c>
      <c r="I84" s="33">
        <f>2088.5+11162.1</f>
        <v>13250.6</v>
      </c>
      <c r="J84" s="61">
        <f t="shared" si="11"/>
        <v>99.615089687110014</v>
      </c>
      <c r="K84" s="46"/>
    </row>
    <row r="85" spans="1:215" s="6" customFormat="1" x14ac:dyDescent="0.2">
      <c r="A85" s="5" t="s">
        <v>4</v>
      </c>
      <c r="B85" s="71">
        <v>167.5</v>
      </c>
      <c r="C85" s="98">
        <v>284</v>
      </c>
      <c r="D85" s="61">
        <f t="shared" si="10"/>
        <v>169.55223880597015</v>
      </c>
      <c r="E85" s="45">
        <v>300</v>
      </c>
      <c r="F85" s="61">
        <f t="shared" si="11"/>
        <v>105.63380281690141</v>
      </c>
      <c r="G85" s="45">
        <v>35</v>
      </c>
      <c r="H85" s="61">
        <f t="shared" si="11"/>
        <v>11.666666666666666</v>
      </c>
      <c r="I85" s="45">
        <v>34.6</v>
      </c>
      <c r="J85" s="61">
        <f t="shared" si="11"/>
        <v>98.857142857142861</v>
      </c>
      <c r="K85" s="46"/>
    </row>
    <row r="86" spans="1:215" s="6" customFormat="1" x14ac:dyDescent="0.2">
      <c r="A86" s="5" t="s">
        <v>3</v>
      </c>
      <c r="B86" s="71">
        <v>56243.95</v>
      </c>
      <c r="C86" s="98">
        <f>32149.4872+1664.819</f>
        <v>33814.306199999999</v>
      </c>
      <c r="D86" s="61">
        <f t="shared" si="10"/>
        <v>60.120788458136388</v>
      </c>
      <c r="E86" s="45">
        <v>11549.4</v>
      </c>
      <c r="F86" s="61">
        <f t="shared" si="11"/>
        <v>34.155365872921564</v>
      </c>
      <c r="G86" s="45">
        <v>9864.7999999999993</v>
      </c>
      <c r="H86" s="61">
        <f t="shared" si="11"/>
        <v>85.413960898401641</v>
      </c>
      <c r="I86" s="45">
        <v>10210.1</v>
      </c>
      <c r="J86" s="61">
        <f t="shared" si="11"/>
        <v>103.5003243856946</v>
      </c>
      <c r="K86" s="46"/>
    </row>
    <row r="87" spans="1:215" s="6" customFormat="1" x14ac:dyDescent="0.2">
      <c r="A87" s="5" t="s">
        <v>2</v>
      </c>
      <c r="B87" s="71">
        <v>1652.3</v>
      </c>
      <c r="C87" s="98">
        <v>487.9</v>
      </c>
      <c r="D87" s="61">
        <f t="shared" si="10"/>
        <v>29.528535980148881</v>
      </c>
      <c r="E87" s="43">
        <v>374.2</v>
      </c>
      <c r="F87" s="61">
        <f t="shared" si="11"/>
        <v>76.696044271367086</v>
      </c>
      <c r="G87" s="45">
        <v>0</v>
      </c>
      <c r="H87" s="61">
        <f t="shared" si="11"/>
        <v>0</v>
      </c>
      <c r="I87" s="45">
        <v>374.2</v>
      </c>
      <c r="J87" s="61">
        <v>0</v>
      </c>
      <c r="K87" s="46"/>
    </row>
    <row r="88" spans="1:215" s="6" customFormat="1" x14ac:dyDescent="0.2">
      <c r="A88" s="5" t="s">
        <v>1</v>
      </c>
      <c r="B88" s="71">
        <v>33</v>
      </c>
      <c r="C88" s="98">
        <v>12</v>
      </c>
      <c r="D88" s="61">
        <f t="shared" si="10"/>
        <v>36.36363636363636</v>
      </c>
      <c r="E88" s="42">
        <v>40</v>
      </c>
      <c r="F88" s="61">
        <f t="shared" si="11"/>
        <v>333.33333333333337</v>
      </c>
      <c r="G88" s="45">
        <v>0</v>
      </c>
      <c r="H88" s="61">
        <f t="shared" si="11"/>
        <v>0</v>
      </c>
      <c r="I88" s="45">
        <v>80</v>
      </c>
      <c r="J88" s="61">
        <v>0</v>
      </c>
      <c r="K88" s="46"/>
    </row>
    <row r="89" spans="1:215" s="6" customFormat="1" ht="31.5" x14ac:dyDescent="0.2">
      <c r="A89" s="5" t="s">
        <v>91</v>
      </c>
      <c r="B89" s="71">
        <v>0.22</v>
      </c>
      <c r="C89" s="98"/>
      <c r="D89" s="61"/>
      <c r="E89" s="42"/>
      <c r="F89" s="61"/>
      <c r="G89" s="45"/>
      <c r="H89" s="61"/>
      <c r="I89" s="45"/>
      <c r="J89" s="61"/>
      <c r="K89" s="46"/>
    </row>
    <row r="90" spans="1:215" s="6" customFormat="1" ht="47.25" x14ac:dyDescent="0.2">
      <c r="A90" s="5" t="s">
        <v>62</v>
      </c>
      <c r="B90" s="42">
        <v>885.2</v>
      </c>
      <c r="C90" s="99">
        <v>20029</v>
      </c>
      <c r="D90" s="61">
        <f t="shared" si="10"/>
        <v>2262.6525079078174</v>
      </c>
      <c r="E90" s="42">
        <v>21753.7</v>
      </c>
      <c r="F90" s="61">
        <v>0</v>
      </c>
      <c r="G90" s="43">
        <v>20300.400000000001</v>
      </c>
      <c r="H90" s="61">
        <v>0</v>
      </c>
      <c r="I90" s="43">
        <v>20229.8</v>
      </c>
      <c r="J90" s="61">
        <v>0</v>
      </c>
    </row>
    <row r="91" spans="1:215" x14ac:dyDescent="0.25">
      <c r="A91" s="5" t="s">
        <v>0</v>
      </c>
      <c r="B91" s="41">
        <f>SUM(B77:B90)</f>
        <v>254204.78600000005</v>
      </c>
      <c r="C91" s="41">
        <f>SUM(C77:C90)</f>
        <v>240759.73303</v>
      </c>
      <c r="D91" s="67">
        <f>C91/B91%</f>
        <v>94.710936335400049</v>
      </c>
      <c r="E91" s="41">
        <f>SUM(E77:E90)</f>
        <v>236638.50000000003</v>
      </c>
      <c r="F91" s="67">
        <f>E91/C91%</f>
        <v>98.288238245601292</v>
      </c>
      <c r="G91" s="41">
        <f>SUM(G77:G90)</f>
        <v>299129.5</v>
      </c>
      <c r="H91" s="67">
        <f>G91/E91%</f>
        <v>126.40779078636822</v>
      </c>
      <c r="I91" s="41">
        <f>SUM(I77:I90)</f>
        <v>299759.89999999991</v>
      </c>
      <c r="J91" s="67">
        <f>I91/G91%</f>
        <v>100.21074484462412</v>
      </c>
    </row>
    <row r="92" spans="1:215" s="2" customFormat="1" x14ac:dyDescent="0.25">
      <c r="A92" s="3"/>
      <c r="D92" s="8"/>
      <c r="E92" s="8"/>
      <c r="G92" s="41"/>
      <c r="H92" s="41"/>
      <c r="I92" s="4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</row>
    <row r="93" spans="1:215" s="2" customFormat="1" x14ac:dyDescent="0.25">
      <c r="A93" s="3"/>
      <c r="C93" s="41"/>
      <c r="D93" s="8"/>
      <c r="E93" s="8"/>
      <c r="H93" s="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</row>
    <row r="94" spans="1:215" s="2" customFormat="1" x14ac:dyDescent="0.25">
      <c r="A94" s="3"/>
      <c r="D94" s="8"/>
      <c r="E94" s="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</row>
    <row r="95" spans="1:215" s="2" customFormat="1" x14ac:dyDescent="0.25">
      <c r="A95" s="3"/>
      <c r="D95" s="8"/>
      <c r="E95" s="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</row>
    <row r="96" spans="1:215" s="2" customFormat="1" x14ac:dyDescent="0.25">
      <c r="A96" s="3"/>
      <c r="D96" s="8"/>
      <c r="E96" s="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</row>
    <row r="97" spans="1:215" s="2" customFormat="1" x14ac:dyDescent="0.25">
      <c r="A97" s="3"/>
      <c r="D97" s="8"/>
      <c r="E97" s="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</row>
    <row r="98" spans="1:215" s="2" customFormat="1" x14ac:dyDescent="0.25">
      <c r="A98" s="3"/>
      <c r="D98" s="8"/>
      <c r="E98" s="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</row>
    <row r="99" spans="1:215" s="2" customFormat="1" x14ac:dyDescent="0.25">
      <c r="A99" s="3"/>
      <c r="D99" s="8"/>
      <c r="E99" s="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</row>
    <row r="100" spans="1:215" s="2" customFormat="1" x14ac:dyDescent="0.25">
      <c r="A100" s="3"/>
      <c r="D100" s="8"/>
      <c r="E100" s="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</row>
    <row r="101" spans="1:215" s="2" customFormat="1" x14ac:dyDescent="0.25">
      <c r="A101" s="3"/>
      <c r="D101" s="8"/>
      <c r="E101" s="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</row>
    <row r="102" spans="1:215" s="2" customFormat="1" x14ac:dyDescent="0.25">
      <c r="A102" s="3"/>
      <c r="D102" s="8"/>
      <c r="E102" s="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</row>
    <row r="103" spans="1:215" s="2" customFormat="1" x14ac:dyDescent="0.25">
      <c r="A103" s="3"/>
      <c r="D103" s="8"/>
      <c r="E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</row>
    <row r="104" spans="1:215" s="2" customFormat="1" x14ac:dyDescent="0.25">
      <c r="A104" s="3"/>
      <c r="D104" s="8"/>
      <c r="E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</row>
    <row r="105" spans="1:215" s="2" customFormat="1" x14ac:dyDescent="0.25">
      <c r="A105" s="3"/>
      <c r="D105" s="7"/>
      <c r="E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</row>
    <row r="106" spans="1:215" s="2" customFormat="1" x14ac:dyDescent="0.25">
      <c r="A106" s="3"/>
      <c r="D106" s="7"/>
      <c r="E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</row>
    <row r="107" spans="1:215" s="2" customFormat="1" x14ac:dyDescent="0.25">
      <c r="A107" s="3"/>
      <c r="D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</row>
    <row r="108" spans="1:215" s="2" customFormat="1" x14ac:dyDescent="0.25">
      <c r="A108" s="3"/>
      <c r="D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</row>
    <row r="109" spans="1:215" s="2" customFormat="1" x14ac:dyDescent="0.25">
      <c r="A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</row>
    <row r="110" spans="1:215" s="2" customFormat="1" x14ac:dyDescent="0.25">
      <c r="A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</row>
    <row r="111" spans="1:215" s="2" customFormat="1" x14ac:dyDescent="0.25">
      <c r="A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</row>
    <row r="112" spans="1:215" s="2" customFormat="1" x14ac:dyDescent="0.25">
      <c r="A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</row>
    <row r="113" spans="1:215" s="2" customFormat="1" x14ac:dyDescent="0.25">
      <c r="A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</row>
    <row r="114" spans="1:215" s="2" customFormat="1" x14ac:dyDescent="0.25">
      <c r="A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</row>
    <row r="115" spans="1:215" s="2" customFormat="1" x14ac:dyDescent="0.25">
      <c r="A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</row>
    <row r="116" spans="1:215" s="2" customFormat="1" x14ac:dyDescent="0.25">
      <c r="A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</row>
    <row r="117" spans="1:215" s="2" customFormat="1" x14ac:dyDescent="0.25">
      <c r="A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</row>
    <row r="118" spans="1:215" s="2" customFormat="1" x14ac:dyDescent="0.25">
      <c r="A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</row>
    <row r="119" spans="1:215" s="2" customFormat="1" x14ac:dyDescent="0.25">
      <c r="A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</row>
    <row r="120" spans="1:215" s="2" customFormat="1" x14ac:dyDescent="0.25">
      <c r="A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</row>
    <row r="121" spans="1:215" s="2" customFormat="1" x14ac:dyDescent="0.25">
      <c r="A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</row>
    <row r="122" spans="1:215" s="2" customFormat="1" x14ac:dyDescent="0.25">
      <c r="A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</row>
    <row r="123" spans="1:215" s="2" customFormat="1" x14ac:dyDescent="0.25">
      <c r="A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</row>
    <row r="124" spans="1:215" s="2" customFormat="1" x14ac:dyDescent="0.25">
      <c r="A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</row>
    <row r="125" spans="1:215" s="2" customFormat="1" x14ac:dyDescent="0.25">
      <c r="A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</row>
    <row r="126" spans="1:215" s="2" customFormat="1" x14ac:dyDescent="0.25">
      <c r="A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</row>
    <row r="127" spans="1:215" s="2" customFormat="1" x14ac:dyDescent="0.25">
      <c r="A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</row>
    <row r="128" spans="1:215" s="2" customFormat="1" x14ac:dyDescent="0.25">
      <c r="A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</row>
    <row r="129" spans="1:215" s="2" customFormat="1" x14ac:dyDescent="0.25">
      <c r="A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</row>
    <row r="130" spans="1:215" s="2" customFormat="1" x14ac:dyDescent="0.25">
      <c r="A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</row>
    <row r="131" spans="1:215" s="2" customFormat="1" x14ac:dyDescent="0.25">
      <c r="A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</row>
    <row r="132" spans="1:215" s="2" customFormat="1" x14ac:dyDescent="0.25">
      <c r="A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</row>
    <row r="133" spans="1:215" s="2" customFormat="1" x14ac:dyDescent="0.25">
      <c r="A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</row>
    <row r="134" spans="1:215" s="2" customFormat="1" x14ac:dyDescent="0.25">
      <c r="A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</row>
    <row r="135" spans="1:215" s="2" customFormat="1" x14ac:dyDescent="0.25">
      <c r="A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</row>
    <row r="136" spans="1:215" s="2" customFormat="1" x14ac:dyDescent="0.25">
      <c r="A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</row>
    <row r="137" spans="1:215" s="2" customFormat="1" x14ac:dyDescent="0.25">
      <c r="A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</row>
    <row r="138" spans="1:215" s="2" customFormat="1" x14ac:dyDescent="0.25">
      <c r="A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</row>
    <row r="139" spans="1:215" s="2" customFormat="1" x14ac:dyDescent="0.25">
      <c r="A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</row>
    <row r="140" spans="1:215" s="2" customFormat="1" x14ac:dyDescent="0.25">
      <c r="A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</row>
    <row r="141" spans="1:215" s="2" customFormat="1" x14ac:dyDescent="0.25">
      <c r="A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</row>
    <row r="142" spans="1:215" s="2" customFormat="1" x14ac:dyDescent="0.25">
      <c r="A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</row>
    <row r="143" spans="1:215" s="2" customFormat="1" x14ac:dyDescent="0.25">
      <c r="A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</row>
    <row r="144" spans="1:215" s="2" customFormat="1" x14ac:dyDescent="0.25">
      <c r="A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</row>
    <row r="145" spans="1:215" s="2" customFormat="1" x14ac:dyDescent="0.25">
      <c r="A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</row>
    <row r="146" spans="1:215" s="2" customFormat="1" x14ac:dyDescent="0.25">
      <c r="A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</row>
    <row r="147" spans="1:215" s="2" customFormat="1" x14ac:dyDescent="0.25">
      <c r="A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</row>
    <row r="148" spans="1:215" s="2" customFormat="1" x14ac:dyDescent="0.25">
      <c r="A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</row>
    <row r="149" spans="1:215" s="2" customFormat="1" x14ac:dyDescent="0.25">
      <c r="A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</row>
    <row r="150" spans="1:215" s="2" customFormat="1" x14ac:dyDescent="0.25">
      <c r="A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</row>
    <row r="151" spans="1:215" s="2" customFormat="1" x14ac:dyDescent="0.25">
      <c r="A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</row>
    <row r="152" spans="1:215" s="2" customFormat="1" x14ac:dyDescent="0.25">
      <c r="A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</row>
    <row r="153" spans="1:215" s="2" customFormat="1" x14ac:dyDescent="0.25">
      <c r="A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</row>
    <row r="154" spans="1:215" s="2" customFormat="1" x14ac:dyDescent="0.25">
      <c r="A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</row>
    <row r="155" spans="1:215" s="2" customFormat="1" x14ac:dyDescent="0.25">
      <c r="A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</row>
    <row r="156" spans="1:215" s="2" customFormat="1" x14ac:dyDescent="0.25">
      <c r="A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</row>
    <row r="157" spans="1:215" s="2" customFormat="1" x14ac:dyDescent="0.25">
      <c r="A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</row>
    <row r="158" spans="1:215" s="2" customFormat="1" x14ac:dyDescent="0.25">
      <c r="A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</row>
    <row r="159" spans="1:215" s="2" customFormat="1" x14ac:dyDescent="0.25">
      <c r="A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2" customFormat="1" x14ac:dyDescent="0.25">
      <c r="A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215" s="2" customFormat="1" x14ac:dyDescent="0.25">
      <c r="A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</row>
    <row r="162" spans="1:215" s="2" customFormat="1" x14ac:dyDescent="0.25">
      <c r="A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</row>
    <row r="163" spans="1:215" s="2" customFormat="1" x14ac:dyDescent="0.25">
      <c r="A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</row>
    <row r="164" spans="1:215" s="2" customFormat="1" x14ac:dyDescent="0.25">
      <c r="A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</row>
    <row r="165" spans="1:215" s="2" customFormat="1" x14ac:dyDescent="0.25">
      <c r="A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</row>
    <row r="166" spans="1:215" s="2" customFormat="1" x14ac:dyDescent="0.25">
      <c r="A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</row>
    <row r="167" spans="1:215" s="2" customFormat="1" x14ac:dyDescent="0.25">
      <c r="A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</row>
    <row r="168" spans="1:215" s="2" customFormat="1" x14ac:dyDescent="0.25">
      <c r="A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</row>
    <row r="169" spans="1:215" s="2" customFormat="1" x14ac:dyDescent="0.25">
      <c r="A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</row>
    <row r="170" spans="1:215" s="2" customFormat="1" x14ac:dyDescent="0.25">
      <c r="A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</row>
    <row r="171" spans="1:215" s="2" customFormat="1" x14ac:dyDescent="0.25">
      <c r="A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</row>
    <row r="172" spans="1:215" s="2" customFormat="1" x14ac:dyDescent="0.25">
      <c r="A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</row>
    <row r="173" spans="1:215" s="2" customFormat="1" x14ac:dyDescent="0.25">
      <c r="A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</row>
    <row r="174" spans="1:215" s="2" customFormat="1" x14ac:dyDescent="0.25">
      <c r="A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</row>
    <row r="175" spans="1:215" s="2" customFormat="1" x14ac:dyDescent="0.25">
      <c r="A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</row>
    <row r="176" spans="1:215" s="2" customFormat="1" x14ac:dyDescent="0.25">
      <c r="A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</row>
    <row r="177" spans="1:215" s="2" customFormat="1" x14ac:dyDescent="0.25">
      <c r="A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</row>
    <row r="178" spans="1:215" s="2" customFormat="1" x14ac:dyDescent="0.25">
      <c r="A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</row>
    <row r="179" spans="1:215" s="2" customFormat="1" x14ac:dyDescent="0.25">
      <c r="A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</row>
    <row r="180" spans="1:215" x14ac:dyDescent="0.25">
      <c r="D180" s="2"/>
      <c r="E180" s="2"/>
      <c r="H180" s="2"/>
    </row>
    <row r="181" spans="1:215" x14ac:dyDescent="0.25">
      <c r="D181" s="2"/>
      <c r="E181" s="2"/>
    </row>
    <row r="182" spans="1:215" x14ac:dyDescent="0.25">
      <c r="D182" s="2"/>
      <c r="E182" s="2"/>
    </row>
    <row r="183" spans="1:215" x14ac:dyDescent="0.25">
      <c r="D183" s="2"/>
      <c r="E183" s="2"/>
    </row>
    <row r="184" spans="1:215" x14ac:dyDescent="0.25">
      <c r="D184" s="2"/>
      <c r="E184" s="2"/>
    </row>
    <row r="185" spans="1:215" x14ac:dyDescent="0.25">
      <c r="D185" s="2"/>
      <c r="E185" s="2"/>
    </row>
    <row r="186" spans="1:215" x14ac:dyDescent="0.25">
      <c r="D186" s="2"/>
      <c r="E186" s="2"/>
    </row>
    <row r="187" spans="1:215" x14ac:dyDescent="0.25">
      <c r="D187" s="2"/>
      <c r="E187" s="2"/>
    </row>
    <row r="188" spans="1:215" x14ac:dyDescent="0.25">
      <c r="D188" s="2"/>
      <c r="E188" s="2"/>
    </row>
    <row r="189" spans="1:215" x14ac:dyDescent="0.25">
      <c r="D189" s="2"/>
      <c r="E189" s="2"/>
    </row>
    <row r="190" spans="1:215" x14ac:dyDescent="0.25">
      <c r="D190" s="2"/>
      <c r="E190" s="2"/>
    </row>
    <row r="191" spans="1:215" x14ac:dyDescent="0.25">
      <c r="D191" s="2"/>
      <c r="E191" s="2"/>
    </row>
    <row r="192" spans="1:21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</row>
    <row r="196" spans="4:5" x14ac:dyDescent="0.25">
      <c r="D196" s="2"/>
    </row>
  </sheetData>
  <mergeCells count="2">
    <mergeCell ref="A2:J2"/>
    <mergeCell ref="A1:J1"/>
  </mergeCells>
  <pageMargins left="0.23622047244094491" right="0.23622047244094491" top="0.47" bottom="0.34" header="0.47" footer="0.19"/>
  <pageSetup paperSize="9" scale="74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G197"/>
  <sheetViews>
    <sheetView tabSelected="1" view="pageBreakPreview" zoomScale="85" zoomScaleNormal="100" zoomScaleSheetLayoutView="85" workbookViewId="0">
      <pane xSplit="1" ySplit="5" topLeftCell="G80" activePane="bottomRight" state="frozen"/>
      <selection pane="topRight" activeCell="B1" sqref="B1"/>
      <selection pane="bottomLeft" activeCell="A6" sqref="A6"/>
      <selection pane="bottomRight" activeCell="J86" sqref="J86"/>
    </sheetView>
  </sheetViews>
  <sheetFormatPr defaultRowHeight="15.75" x14ac:dyDescent="0.25"/>
  <cols>
    <col min="1" max="1" width="62.28515625" style="3" customWidth="1"/>
    <col min="2" max="2" width="15.140625" style="1" customWidth="1"/>
    <col min="3" max="3" width="15.28515625" style="103" customWidth="1"/>
    <col min="4" max="4" width="11.42578125" style="1" customWidth="1"/>
    <col min="5" max="5" width="15.28515625" style="1" customWidth="1"/>
    <col min="6" max="6" width="11.28515625" style="1" customWidth="1"/>
    <col min="7" max="7" width="16.85546875" style="1" customWidth="1"/>
    <col min="8" max="8" width="10.7109375" style="1" customWidth="1"/>
    <col min="9" max="9" width="16.85546875" style="1" customWidth="1"/>
    <col min="10" max="10" width="10.28515625" style="1" customWidth="1"/>
    <col min="11" max="11" width="16.85546875" style="1" customWidth="1"/>
    <col min="12" max="12" width="11.28515625" style="1" customWidth="1"/>
    <col min="13" max="98" width="9.140625" style="1"/>
    <col min="99" max="99" width="29.140625" style="1" customWidth="1"/>
    <col min="100" max="101" width="9.140625" style="1" customWidth="1"/>
    <col min="102" max="102" width="11.5703125" style="1" customWidth="1"/>
    <col min="103" max="103" width="9.140625" style="1" customWidth="1"/>
    <col min="104" max="104" width="12.140625" style="1" customWidth="1"/>
    <col min="105" max="105" width="11.28515625" style="1" customWidth="1"/>
    <col min="106" max="106" width="12.5703125" style="1" customWidth="1"/>
    <col min="107" max="107" width="9.140625" style="1" customWidth="1"/>
    <col min="108" max="108" width="13.42578125" style="1" customWidth="1"/>
    <col min="109" max="109" width="6.85546875" style="1" customWidth="1"/>
    <col min="110" max="110" width="12.85546875" style="1" customWidth="1"/>
    <col min="111" max="111" width="7.28515625" style="1" customWidth="1"/>
    <col min="112" max="112" width="12.42578125" style="1" customWidth="1"/>
    <col min="113" max="113" width="8.28515625" style="1" customWidth="1"/>
    <col min="114" max="114" width="9.140625" style="1"/>
    <col min="115" max="115" width="10" style="1" bestFit="1" customWidth="1"/>
    <col min="116" max="116" width="9.7109375" style="1" customWidth="1"/>
    <col min="117" max="16384" width="9.140625" style="1"/>
  </cols>
  <sheetData>
    <row r="1" spans="1:12" ht="18.75" customHeight="1" x14ac:dyDescent="0.2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32"/>
      <c r="L1" s="32"/>
    </row>
    <row r="2" spans="1:12" ht="36.75" customHeight="1" x14ac:dyDescent="0.25">
      <c r="A2" s="105" t="s">
        <v>71</v>
      </c>
      <c r="B2" s="105"/>
      <c r="C2" s="105"/>
      <c r="D2" s="105"/>
      <c r="E2" s="105"/>
      <c r="F2" s="105"/>
      <c r="G2" s="105"/>
      <c r="H2" s="105"/>
      <c r="I2" s="105"/>
      <c r="J2" s="105"/>
      <c r="K2" s="32"/>
      <c r="L2" s="32"/>
    </row>
    <row r="3" spans="1:12" x14ac:dyDescent="0.25">
      <c r="A3" s="47"/>
      <c r="B3" s="28"/>
      <c r="C3" s="85"/>
      <c r="D3" s="28"/>
      <c r="E3" s="28"/>
      <c r="F3" s="28"/>
      <c r="H3" s="30"/>
      <c r="I3" s="30" t="s">
        <v>54</v>
      </c>
      <c r="J3" s="30"/>
    </row>
    <row r="4" spans="1:12" s="28" customFormat="1" ht="47.25" x14ac:dyDescent="0.2">
      <c r="A4" s="29" t="s">
        <v>53</v>
      </c>
      <c r="B4" s="29" t="s">
        <v>72</v>
      </c>
      <c r="C4" s="86" t="s">
        <v>73</v>
      </c>
      <c r="D4" s="29" t="s">
        <v>64</v>
      </c>
      <c r="E4" s="29" t="s">
        <v>65</v>
      </c>
      <c r="F4" s="29" t="s">
        <v>66</v>
      </c>
      <c r="G4" s="29" t="s">
        <v>68</v>
      </c>
      <c r="H4" s="29" t="s">
        <v>69</v>
      </c>
      <c r="I4" s="29" t="s">
        <v>94</v>
      </c>
      <c r="J4" s="29" t="s">
        <v>95</v>
      </c>
    </row>
    <row r="5" spans="1:12" x14ac:dyDescent="0.25">
      <c r="A5" s="27">
        <v>1</v>
      </c>
      <c r="B5" s="27">
        <v>2</v>
      </c>
      <c r="C5" s="8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2" x14ac:dyDescent="0.25">
      <c r="A6" s="26" t="s">
        <v>52</v>
      </c>
      <c r="B6" s="21"/>
      <c r="C6" s="88"/>
      <c r="D6" s="59"/>
      <c r="E6" s="21"/>
      <c r="F6" s="59"/>
      <c r="G6" s="21"/>
      <c r="H6" s="59"/>
      <c r="I6" s="21"/>
      <c r="J6" s="59"/>
    </row>
    <row r="7" spans="1:12" s="25" customFormat="1" x14ac:dyDescent="0.25">
      <c r="A7" s="22" t="s">
        <v>51</v>
      </c>
      <c r="B7" s="49">
        <f>B8+B11+B14+B19+B23</f>
        <v>36420.129999999997</v>
      </c>
      <c r="C7" s="89">
        <f>C8+C11+C14+C19+C23</f>
        <v>35159</v>
      </c>
      <c r="D7" s="60">
        <f>C7/B7%</f>
        <v>96.53727210748562</v>
      </c>
      <c r="E7" s="35">
        <f>E8+E11+E14+E19+E23</f>
        <v>39416</v>
      </c>
      <c r="F7" s="60">
        <f>E7/C7%</f>
        <v>112.10785289684007</v>
      </c>
      <c r="G7" s="35">
        <f>G8+G11+G14+G19+G23</f>
        <v>41394</v>
      </c>
      <c r="H7" s="60">
        <f>G7/E7%</f>
        <v>105.01826669372844</v>
      </c>
      <c r="I7" s="35">
        <f>I8+I11+I14+I19+I23</f>
        <v>43814</v>
      </c>
      <c r="J7" s="60">
        <f>I7/G7%</f>
        <v>105.84625791177466</v>
      </c>
    </row>
    <row r="8" spans="1:12" s="25" customFormat="1" x14ac:dyDescent="0.25">
      <c r="A8" s="22" t="s">
        <v>50</v>
      </c>
      <c r="B8" s="51">
        <f>SUM(B9:B10)</f>
        <v>25473.599999999999</v>
      </c>
      <c r="C8" s="90">
        <f>SUM(C9:C10)</f>
        <v>22989</v>
      </c>
      <c r="D8" s="60">
        <f t="shared" ref="D8" si="0">C8/B8%</f>
        <v>90.246372715281709</v>
      </c>
      <c r="E8" s="34">
        <f>E9+E10</f>
        <v>26370</v>
      </c>
      <c r="F8" s="60">
        <f t="shared" ref="F8:J8" si="1">E8/C8%</f>
        <v>114.70703379877334</v>
      </c>
      <c r="G8" s="34">
        <f>SUM(G9:G10)</f>
        <v>28092</v>
      </c>
      <c r="H8" s="60">
        <f t="shared" si="1"/>
        <v>106.53014789533562</v>
      </c>
      <c r="I8" s="34">
        <f>SUM(I9:I10)</f>
        <v>30283</v>
      </c>
      <c r="J8" s="60">
        <f t="shared" si="1"/>
        <v>107.79937348711377</v>
      </c>
    </row>
    <row r="9" spans="1:12" s="25" customFormat="1" hidden="1" x14ac:dyDescent="0.25">
      <c r="A9" s="24" t="s">
        <v>49</v>
      </c>
      <c r="B9" s="52"/>
      <c r="C9" s="91"/>
      <c r="D9" s="61"/>
      <c r="E9" s="33"/>
      <c r="F9" s="61"/>
      <c r="G9" s="33"/>
      <c r="H9" s="61"/>
      <c r="I9" s="33"/>
      <c r="J9" s="61"/>
    </row>
    <row r="10" spans="1:12" s="25" customFormat="1" x14ac:dyDescent="0.25">
      <c r="A10" s="24" t="s">
        <v>48</v>
      </c>
      <c r="B10" s="52">
        <v>25473.599999999999</v>
      </c>
      <c r="C10" s="91">
        <v>22989</v>
      </c>
      <c r="D10" s="61">
        <f t="shared" ref="D10:D33" si="2">C10/B10%</f>
        <v>90.246372715281709</v>
      </c>
      <c r="E10" s="33">
        <v>26370</v>
      </c>
      <c r="F10" s="61">
        <f>E10/C10%</f>
        <v>114.70703379877334</v>
      </c>
      <c r="G10" s="33">
        <v>28092</v>
      </c>
      <c r="H10" s="116">
        <v>30283</v>
      </c>
      <c r="I10" s="33">
        <v>30283</v>
      </c>
      <c r="J10" s="61">
        <f>I10/G10%</f>
        <v>107.79937348711377</v>
      </c>
    </row>
    <row r="11" spans="1:12" s="25" customFormat="1" ht="31.5" x14ac:dyDescent="0.25">
      <c r="A11" s="22" t="s">
        <v>47</v>
      </c>
      <c r="B11" s="51">
        <f>SUM(B12:B13)</f>
        <v>9516.2800000000007</v>
      </c>
      <c r="C11" s="90">
        <f>SUM(C12:C13)</f>
        <v>9963</v>
      </c>
      <c r="D11" s="60">
        <f t="shared" si="2"/>
        <v>104.69427129088257</v>
      </c>
      <c r="E11" s="34">
        <f>SUM(E12:E13)</f>
        <v>10645</v>
      </c>
      <c r="F11" s="60">
        <f t="shared" ref="F11:J90" si="3">E11/C11%</f>
        <v>106.84532771253639</v>
      </c>
      <c r="G11" s="34">
        <f>SUM(G12:G13)</f>
        <v>10752</v>
      </c>
      <c r="H11" s="60">
        <f t="shared" si="3"/>
        <v>101.00516674495069</v>
      </c>
      <c r="I11" s="34">
        <f>SUM(I12:I13)</f>
        <v>10831</v>
      </c>
      <c r="J11" s="60">
        <f t="shared" si="3"/>
        <v>100.73474702380953</v>
      </c>
    </row>
    <row r="12" spans="1:12" s="25" customFormat="1" x14ac:dyDescent="0.25">
      <c r="A12" s="24" t="s">
        <v>46</v>
      </c>
      <c r="B12" s="52">
        <v>9516.2800000000007</v>
      </c>
      <c r="C12" s="91">
        <v>9963</v>
      </c>
      <c r="D12" s="61">
        <f>C12/B12%</f>
        <v>104.69427129088257</v>
      </c>
      <c r="E12" s="33">
        <v>10645</v>
      </c>
      <c r="F12" s="61">
        <f t="shared" si="3"/>
        <v>106.84532771253639</v>
      </c>
      <c r="G12" s="33">
        <v>10752</v>
      </c>
      <c r="H12" s="61">
        <f t="shared" si="3"/>
        <v>101.00516674495069</v>
      </c>
      <c r="I12" s="33">
        <v>10831</v>
      </c>
      <c r="J12" s="61">
        <f t="shared" si="3"/>
        <v>100.73474702380953</v>
      </c>
    </row>
    <row r="13" spans="1:12" s="25" customFormat="1" hidden="1" x14ac:dyDescent="0.25">
      <c r="A13" s="24" t="s">
        <v>45</v>
      </c>
      <c r="B13" s="52"/>
      <c r="C13" s="91"/>
      <c r="D13" s="61"/>
      <c r="E13" s="33"/>
      <c r="F13" s="61"/>
      <c r="G13" s="33"/>
      <c r="H13" s="61"/>
      <c r="I13" s="33"/>
      <c r="J13" s="61"/>
    </row>
    <row r="14" spans="1:12" s="25" customFormat="1" x14ac:dyDescent="0.25">
      <c r="A14" s="22" t="s">
        <v>44</v>
      </c>
      <c r="B14" s="51">
        <f>SUM(B15:B18)</f>
        <v>874.14</v>
      </c>
      <c r="C14" s="90">
        <f>SUM(C15:C18)</f>
        <v>1600</v>
      </c>
      <c r="D14" s="60">
        <f t="shared" si="2"/>
        <v>183.03704212139931</v>
      </c>
      <c r="E14" s="34">
        <f>SUM(E15:E18)</f>
        <v>1717</v>
      </c>
      <c r="F14" s="60">
        <f t="shared" si="3"/>
        <v>107.3125</v>
      </c>
      <c r="G14" s="34">
        <f>SUM(G15:G18)</f>
        <v>1829</v>
      </c>
      <c r="H14" s="60">
        <f>SUM(H15:H18)</f>
        <v>334.93346751649335</v>
      </c>
      <c r="I14" s="34">
        <f>SUM(I15:I18)</f>
        <v>1939</v>
      </c>
      <c r="J14" s="60">
        <f>SUM(J15:J18)</f>
        <v>320.56822583769127</v>
      </c>
    </row>
    <row r="15" spans="1:12" s="25" customFormat="1" ht="31.5" x14ac:dyDescent="0.25">
      <c r="A15" s="24" t="s">
        <v>42</v>
      </c>
      <c r="B15" s="52">
        <v>0.24</v>
      </c>
      <c r="C15" s="91">
        <v>0</v>
      </c>
      <c r="D15" s="61">
        <f t="shared" si="2"/>
        <v>0</v>
      </c>
      <c r="E15" s="33"/>
      <c r="F15" s="61">
        <v>0</v>
      </c>
      <c r="G15" s="33"/>
      <c r="H15" s="61">
        <v>0</v>
      </c>
      <c r="I15" s="33"/>
      <c r="J15" s="61"/>
    </row>
    <row r="16" spans="1:12" s="25" customFormat="1" x14ac:dyDescent="0.25">
      <c r="A16" s="24" t="s">
        <v>41</v>
      </c>
      <c r="B16" s="52">
        <v>13.39</v>
      </c>
      <c r="C16" s="91">
        <v>11</v>
      </c>
      <c r="D16" s="61">
        <f t="shared" si="2"/>
        <v>82.150858849887967</v>
      </c>
      <c r="E16" s="33">
        <v>11</v>
      </c>
      <c r="F16" s="61">
        <f t="shared" si="3"/>
        <v>100</v>
      </c>
      <c r="G16" s="33">
        <v>12</v>
      </c>
      <c r="H16" s="61">
        <f t="shared" si="3"/>
        <v>109.09090909090909</v>
      </c>
      <c r="I16" s="33">
        <v>13</v>
      </c>
      <c r="J16" s="61">
        <f t="shared" si="3"/>
        <v>108.33333333333334</v>
      </c>
    </row>
    <row r="17" spans="1:10" s="25" customFormat="1" ht="31.5" x14ac:dyDescent="0.25">
      <c r="A17" s="24" t="s">
        <v>40</v>
      </c>
      <c r="B17" s="52">
        <v>50.87</v>
      </c>
      <c r="C17" s="91">
        <v>53</v>
      </c>
      <c r="D17" s="61">
        <f>C17/B17%</f>
        <v>104.18714369962652</v>
      </c>
      <c r="E17" s="33">
        <v>80</v>
      </c>
      <c r="F17" s="61">
        <f t="shared" si="3"/>
        <v>150.94339622641508</v>
      </c>
      <c r="G17" s="33">
        <v>96</v>
      </c>
      <c r="H17" s="61">
        <f t="shared" si="3"/>
        <v>120</v>
      </c>
      <c r="I17" s="33">
        <v>102</v>
      </c>
      <c r="J17" s="61">
        <f t="shared" si="3"/>
        <v>106.25</v>
      </c>
    </row>
    <row r="18" spans="1:10" s="25" customFormat="1" ht="31.5" x14ac:dyDescent="0.25">
      <c r="A18" s="24" t="s">
        <v>43</v>
      </c>
      <c r="B18" s="52">
        <v>809.64</v>
      </c>
      <c r="C18" s="91">
        <v>1536</v>
      </c>
      <c r="D18" s="61">
        <v>0</v>
      </c>
      <c r="E18" s="33">
        <v>1626</v>
      </c>
      <c r="F18" s="61">
        <f t="shared" si="3"/>
        <v>105.859375</v>
      </c>
      <c r="G18" s="33">
        <v>1721</v>
      </c>
      <c r="H18" s="61">
        <f>G18/E18%</f>
        <v>105.84255842558424</v>
      </c>
      <c r="I18" s="33">
        <v>1824</v>
      </c>
      <c r="J18" s="61">
        <f t="shared" si="3"/>
        <v>105.98489250435793</v>
      </c>
    </row>
    <row r="19" spans="1:10" s="25" customFormat="1" x14ac:dyDescent="0.25">
      <c r="A19" s="22" t="s">
        <v>39</v>
      </c>
      <c r="B19" s="51">
        <f>SUM(B20:B22)</f>
        <v>286.16000000000003</v>
      </c>
      <c r="C19" s="90">
        <f>SUM(C20:C22)</f>
        <v>286</v>
      </c>
      <c r="D19" s="61">
        <f t="shared" si="2"/>
        <v>99.944087223930666</v>
      </c>
      <c r="E19" s="34">
        <f>SUM(E20:E22)</f>
        <v>347</v>
      </c>
      <c r="F19" s="61">
        <f t="shared" si="3"/>
        <v>121.32867132867133</v>
      </c>
      <c r="G19" s="34">
        <f>SUM(G20:G22)</f>
        <v>367</v>
      </c>
      <c r="H19" s="61">
        <f t="shared" si="3"/>
        <v>105.76368876080691</v>
      </c>
      <c r="I19" s="34">
        <f>SUM(I20:I22)</f>
        <v>389</v>
      </c>
      <c r="J19" s="61">
        <f t="shared" si="3"/>
        <v>105.99455040871935</v>
      </c>
    </row>
    <row r="20" spans="1:10" s="25" customFormat="1" x14ac:dyDescent="0.25">
      <c r="A20" s="24" t="s">
        <v>38</v>
      </c>
      <c r="B20" s="52"/>
      <c r="C20" s="91"/>
      <c r="D20" s="61"/>
      <c r="E20" s="33"/>
      <c r="F20" s="61"/>
      <c r="G20" s="33"/>
      <c r="H20" s="61"/>
      <c r="I20" s="33"/>
      <c r="J20" s="61"/>
    </row>
    <row r="21" spans="1:10" s="25" customFormat="1" x14ac:dyDescent="0.25">
      <c r="A21" s="24" t="s">
        <v>37</v>
      </c>
      <c r="B21" s="52">
        <v>286.16000000000003</v>
      </c>
      <c r="C21" s="91">
        <v>286</v>
      </c>
      <c r="D21" s="61">
        <f t="shared" si="2"/>
        <v>99.944087223930666</v>
      </c>
      <c r="E21" s="33">
        <v>347</v>
      </c>
      <c r="F21" s="61">
        <f t="shared" si="3"/>
        <v>121.32867132867133</v>
      </c>
      <c r="G21" s="33">
        <v>367</v>
      </c>
      <c r="H21" s="61">
        <f t="shared" si="3"/>
        <v>105.76368876080691</v>
      </c>
      <c r="I21" s="33">
        <v>389</v>
      </c>
      <c r="J21" s="61">
        <f t="shared" si="3"/>
        <v>105.99455040871935</v>
      </c>
    </row>
    <row r="22" spans="1:10" s="25" customFormat="1" x14ac:dyDescent="0.25">
      <c r="A22" s="24" t="s">
        <v>36</v>
      </c>
      <c r="B22" s="52"/>
      <c r="C22" s="91"/>
      <c r="D22" s="61"/>
      <c r="E22" s="33"/>
      <c r="F22" s="61"/>
      <c r="G22" s="33"/>
      <c r="H22" s="61"/>
      <c r="I22" s="33"/>
      <c r="J22" s="61" t="e">
        <f t="shared" si="3"/>
        <v>#DIV/0!</v>
      </c>
    </row>
    <row r="23" spans="1:10" s="25" customFormat="1" x14ac:dyDescent="0.25">
      <c r="A23" s="22" t="s">
        <v>35</v>
      </c>
      <c r="B23" s="51">
        <v>269.95</v>
      </c>
      <c r="C23" s="90">
        <v>321</v>
      </c>
      <c r="D23" s="60">
        <f t="shared" si="2"/>
        <v>118.9109094276718</v>
      </c>
      <c r="E23" s="34">
        <v>337</v>
      </c>
      <c r="F23" s="60">
        <f t="shared" si="3"/>
        <v>104.98442367601247</v>
      </c>
      <c r="G23" s="34">
        <v>354</v>
      </c>
      <c r="H23" s="60">
        <f t="shared" si="3"/>
        <v>105.04451038575667</v>
      </c>
      <c r="I23" s="34">
        <v>372</v>
      </c>
      <c r="J23" s="60">
        <f t="shared" si="3"/>
        <v>105.08474576271186</v>
      </c>
    </row>
    <row r="24" spans="1:10" s="25" customFormat="1" x14ac:dyDescent="0.25">
      <c r="A24" s="22" t="s">
        <v>34</v>
      </c>
      <c r="B24" s="49">
        <f>B25+B27+B28+B30+B31+B32</f>
        <v>6378.45</v>
      </c>
      <c r="C24" s="89">
        <f>C25+C27+C28+C30+C31+C32</f>
        <v>366</v>
      </c>
      <c r="D24" s="60">
        <f t="shared" si="2"/>
        <v>5.738071161489076</v>
      </c>
      <c r="E24" s="35">
        <f>E25+E27+E28+E30+E31+E32</f>
        <v>393</v>
      </c>
      <c r="F24" s="60">
        <f t="shared" si="3"/>
        <v>107.37704918032786</v>
      </c>
      <c r="G24" s="35">
        <f>G25+G27+G28+G30+G31+G32</f>
        <v>526</v>
      </c>
      <c r="H24" s="60">
        <f t="shared" si="3"/>
        <v>133.84223918575063</v>
      </c>
      <c r="I24" s="35">
        <f>I25+I27+I28+I30+I31+I32</f>
        <v>562</v>
      </c>
      <c r="J24" s="60">
        <f t="shared" si="3"/>
        <v>106.84410646387833</v>
      </c>
    </row>
    <row r="25" spans="1:10" s="16" customFormat="1" x14ac:dyDescent="0.2">
      <c r="A25" s="22" t="s">
        <v>32</v>
      </c>
      <c r="B25" s="51">
        <f>SUM(B26:B26)</f>
        <v>226.02</v>
      </c>
      <c r="C25" s="90">
        <f>SUM(C26:C26)</f>
        <v>86</v>
      </c>
      <c r="D25" s="60">
        <f t="shared" si="2"/>
        <v>38.049730112379429</v>
      </c>
      <c r="E25" s="34">
        <f>SUM(E26:E26)</f>
        <v>95</v>
      </c>
      <c r="F25" s="60">
        <f t="shared" si="3"/>
        <v>110.46511627906978</v>
      </c>
      <c r="G25" s="34">
        <f>SUM(G26:G26)</f>
        <v>100</v>
      </c>
      <c r="H25" s="60">
        <f t="shared" si="3"/>
        <v>105.26315789473685</v>
      </c>
      <c r="I25" s="34">
        <f>SUM(I26:I26)</f>
        <v>105</v>
      </c>
      <c r="J25" s="60">
        <f t="shared" si="3"/>
        <v>105</v>
      </c>
    </row>
    <row r="26" spans="1:10" s="16" customFormat="1" x14ac:dyDescent="0.2">
      <c r="A26" s="24" t="s">
        <v>31</v>
      </c>
      <c r="B26" s="52">
        <v>226.02</v>
      </c>
      <c r="C26" s="91">
        <v>86</v>
      </c>
      <c r="D26" s="61">
        <f>C26/B26%</f>
        <v>38.049730112379429</v>
      </c>
      <c r="E26" s="33">
        <v>95</v>
      </c>
      <c r="F26" s="61">
        <f t="shared" si="3"/>
        <v>110.46511627906978</v>
      </c>
      <c r="G26" s="33">
        <v>100</v>
      </c>
      <c r="H26" s="61">
        <f t="shared" si="3"/>
        <v>105.26315789473685</v>
      </c>
      <c r="I26" s="33">
        <v>105</v>
      </c>
      <c r="J26" s="61">
        <f t="shared" si="3"/>
        <v>105</v>
      </c>
    </row>
    <row r="27" spans="1:10" s="16" customFormat="1" ht="31.5" x14ac:dyDescent="0.2">
      <c r="A27" s="22" t="s">
        <v>30</v>
      </c>
      <c r="B27" s="51">
        <v>825.97</v>
      </c>
      <c r="C27" s="90"/>
      <c r="D27" s="60"/>
      <c r="E27" s="34">
        <v>2</v>
      </c>
      <c r="F27" s="60" t="e">
        <f>E27/C27%</f>
        <v>#DIV/0!</v>
      </c>
      <c r="G27" s="34">
        <v>2</v>
      </c>
      <c r="H27" s="60">
        <f t="shared" si="3"/>
        <v>100</v>
      </c>
      <c r="I27" s="34">
        <v>2</v>
      </c>
      <c r="J27" s="60">
        <f t="shared" si="3"/>
        <v>100</v>
      </c>
    </row>
    <row r="28" spans="1:10" s="16" customFormat="1" x14ac:dyDescent="0.2">
      <c r="A28" s="22" t="s">
        <v>33</v>
      </c>
      <c r="B28" s="51">
        <f>B29</f>
        <v>116.62</v>
      </c>
      <c r="C28" s="90">
        <f>C29</f>
        <v>117</v>
      </c>
      <c r="D28" s="61">
        <f t="shared" si="2"/>
        <v>100.3258446235637</v>
      </c>
      <c r="E28" s="34">
        <f>E29</f>
        <v>123</v>
      </c>
      <c r="F28" s="61">
        <f t="shared" si="3"/>
        <v>105.12820512820514</v>
      </c>
      <c r="G28" s="34">
        <f>G29</f>
        <v>128</v>
      </c>
      <c r="H28" s="61">
        <f t="shared" si="3"/>
        <v>104.0650406504065</v>
      </c>
      <c r="I28" s="34">
        <f>I29</f>
        <v>133</v>
      </c>
      <c r="J28" s="61">
        <f t="shared" si="3"/>
        <v>103.90625</v>
      </c>
    </row>
    <row r="29" spans="1:10" s="16" customFormat="1" x14ac:dyDescent="0.25">
      <c r="A29" s="23" t="s">
        <v>60</v>
      </c>
      <c r="B29" s="52">
        <v>116.62</v>
      </c>
      <c r="C29" s="91">
        <v>117</v>
      </c>
      <c r="D29" s="61">
        <f t="shared" si="2"/>
        <v>100.3258446235637</v>
      </c>
      <c r="E29" s="33">
        <v>123</v>
      </c>
      <c r="F29" s="61">
        <f t="shared" si="3"/>
        <v>105.12820512820514</v>
      </c>
      <c r="G29" s="33">
        <v>128</v>
      </c>
      <c r="H29" s="61">
        <f t="shared" si="3"/>
        <v>104.0650406504065</v>
      </c>
      <c r="I29" s="33">
        <v>133</v>
      </c>
      <c r="J29" s="61">
        <f t="shared" si="3"/>
        <v>103.90625</v>
      </c>
    </row>
    <row r="30" spans="1:10" s="16" customFormat="1" ht="31.5" x14ac:dyDescent="0.2">
      <c r="A30" s="22" t="s">
        <v>29</v>
      </c>
      <c r="B30" s="51">
        <v>72.12</v>
      </c>
      <c r="C30" s="90">
        <v>88</v>
      </c>
      <c r="D30" s="60">
        <f t="shared" si="2"/>
        <v>122.01885745978923</v>
      </c>
      <c r="E30" s="34">
        <v>92</v>
      </c>
      <c r="F30" s="60">
        <f t="shared" si="3"/>
        <v>104.54545454545455</v>
      </c>
      <c r="G30" s="34">
        <v>95</v>
      </c>
      <c r="H30" s="60">
        <f t="shared" si="3"/>
        <v>103.26086956521739</v>
      </c>
      <c r="I30" s="34">
        <v>96</v>
      </c>
      <c r="J30" s="60">
        <f t="shared" si="3"/>
        <v>101.05263157894737</v>
      </c>
    </row>
    <row r="31" spans="1:10" s="16" customFormat="1" x14ac:dyDescent="0.2">
      <c r="A31" s="22" t="s">
        <v>28</v>
      </c>
      <c r="B31" s="51">
        <v>-71.95</v>
      </c>
      <c r="C31" s="90">
        <v>75</v>
      </c>
      <c r="D31" s="60">
        <f t="shared" si="2"/>
        <v>-104.23905489923558</v>
      </c>
      <c r="E31" s="34">
        <v>81</v>
      </c>
      <c r="F31" s="60">
        <f t="shared" si="3"/>
        <v>108</v>
      </c>
      <c r="G31" s="34">
        <v>201</v>
      </c>
      <c r="H31" s="60">
        <f t="shared" si="3"/>
        <v>248.14814814814812</v>
      </c>
      <c r="I31" s="34">
        <v>226</v>
      </c>
      <c r="J31" s="60">
        <f t="shared" si="3"/>
        <v>112.43781094527364</v>
      </c>
    </row>
    <row r="32" spans="1:10" s="16" customFormat="1" x14ac:dyDescent="0.2">
      <c r="A32" s="22" t="s">
        <v>27</v>
      </c>
      <c r="B32" s="51">
        <v>5209.67</v>
      </c>
      <c r="C32" s="90"/>
      <c r="D32" s="60"/>
      <c r="E32" s="34"/>
      <c r="F32" s="60"/>
      <c r="G32" s="34"/>
      <c r="H32" s="60"/>
      <c r="I32" s="34"/>
      <c r="J32" s="60" t="e">
        <f t="shared" si="3"/>
        <v>#DIV/0!</v>
      </c>
    </row>
    <row r="33" spans="1:10" s="16" customFormat="1" x14ac:dyDescent="0.2">
      <c r="A33" s="13" t="s">
        <v>26</v>
      </c>
      <c r="B33" s="51">
        <f>B7+B24</f>
        <v>42798.579999999994</v>
      </c>
      <c r="C33" s="90">
        <f>C7+C24</f>
        <v>35525</v>
      </c>
      <c r="D33" s="60">
        <f t="shared" si="2"/>
        <v>83.005090355801542</v>
      </c>
      <c r="E33" s="34">
        <f>E7+E24</f>
        <v>39809</v>
      </c>
      <c r="F33" s="60">
        <f>E33/C33%</f>
        <v>112.05911330049261</v>
      </c>
      <c r="G33" s="34">
        <f>G7+G24</f>
        <v>41920</v>
      </c>
      <c r="H33" s="60">
        <f t="shared" si="3"/>
        <v>105.30282097013239</v>
      </c>
      <c r="I33" s="34">
        <f>I7+I24</f>
        <v>44376</v>
      </c>
      <c r="J33" s="60">
        <f t="shared" si="3"/>
        <v>105.8587786259542</v>
      </c>
    </row>
    <row r="34" spans="1:10" s="16" customFormat="1" x14ac:dyDescent="0.2">
      <c r="A34" s="13" t="s">
        <v>63</v>
      </c>
      <c r="B34" s="53">
        <v>16168.625550000001</v>
      </c>
      <c r="C34" s="92">
        <v>8251.8500000000095</v>
      </c>
      <c r="D34" s="60"/>
      <c r="E34" s="34"/>
      <c r="F34" s="60"/>
      <c r="G34" s="34"/>
      <c r="H34" s="60"/>
      <c r="I34" s="34"/>
      <c r="J34" s="60"/>
    </row>
    <row r="35" spans="1:10" s="16" customFormat="1" ht="31.5" x14ac:dyDescent="0.2">
      <c r="A35" s="13" t="s">
        <v>25</v>
      </c>
      <c r="B35" s="52"/>
      <c r="C35" s="91"/>
      <c r="D35" s="61"/>
      <c r="E35" s="33"/>
      <c r="F35" s="61"/>
      <c r="G35" s="33"/>
      <c r="H35" s="61"/>
      <c r="I35" s="33"/>
      <c r="J35" s="61"/>
    </row>
    <row r="36" spans="1:10" s="16" customFormat="1" ht="31.5" x14ac:dyDescent="0.2">
      <c r="A36" s="13" t="s">
        <v>24</v>
      </c>
      <c r="B36" s="52">
        <v>-3190.6639</v>
      </c>
      <c r="C36" s="91"/>
      <c r="D36" s="61"/>
      <c r="E36" s="33"/>
      <c r="F36" s="61"/>
      <c r="G36" s="33"/>
      <c r="H36" s="61"/>
      <c r="I36" s="33"/>
      <c r="J36" s="61"/>
    </row>
    <row r="37" spans="1:10" s="16" customFormat="1" x14ac:dyDescent="0.2">
      <c r="A37" s="15" t="s">
        <v>23</v>
      </c>
      <c r="B37" s="50">
        <f>B38+B36</f>
        <v>200880.15420999998</v>
      </c>
      <c r="C37" s="93">
        <f>C38</f>
        <v>173106.52900000001</v>
      </c>
      <c r="D37" s="61">
        <f t="shared" ref="D37:D90" si="4">C37/B37%</f>
        <v>86.174032313333726</v>
      </c>
      <c r="E37" s="38">
        <f>E38</f>
        <v>171591.17</v>
      </c>
      <c r="F37" s="61">
        <f t="shared" si="3"/>
        <v>99.124608985718851</v>
      </c>
      <c r="G37" s="38">
        <f>G38</f>
        <v>235322.13399999999</v>
      </c>
      <c r="H37" s="61">
        <f t="shared" si="3"/>
        <v>137.14116757872796</v>
      </c>
      <c r="I37" s="38">
        <f>I38</f>
        <v>233451.99100000001</v>
      </c>
      <c r="J37" s="61">
        <f t="shared" si="3"/>
        <v>99.205283851454453</v>
      </c>
    </row>
    <row r="38" spans="1:10" s="16" customFormat="1" ht="31.5" x14ac:dyDescent="0.2">
      <c r="A38" s="17" t="s">
        <v>22</v>
      </c>
      <c r="B38" s="50">
        <f>B40+B43+B55+B66</f>
        <v>204070.81810999999</v>
      </c>
      <c r="C38" s="93">
        <f>C40+C43+C55+C66</f>
        <v>173106.52900000001</v>
      </c>
      <c r="D38" s="61">
        <f t="shared" si="4"/>
        <v>84.82669428349655</v>
      </c>
      <c r="E38" s="38">
        <f>E40+E43+E55+E66</f>
        <v>171591.17</v>
      </c>
      <c r="F38" s="61">
        <f t="shared" si="3"/>
        <v>99.124608985718851</v>
      </c>
      <c r="G38" s="38">
        <f>G40+G43+G55+G66</f>
        <v>235322.13399999999</v>
      </c>
      <c r="H38" s="61" t="e">
        <f>H40+H43+H55</f>
        <v>#DIV/0!</v>
      </c>
      <c r="I38" s="38">
        <f>I40+I43+I55+I66</f>
        <v>233451.99100000001</v>
      </c>
      <c r="J38" s="61">
        <f t="shared" si="3"/>
        <v>99.205283851454453</v>
      </c>
    </row>
    <row r="39" spans="1:10" s="16" customFormat="1" x14ac:dyDescent="0.2">
      <c r="A39" s="17" t="s">
        <v>21</v>
      </c>
      <c r="B39" s="53"/>
      <c r="C39" s="94"/>
      <c r="D39" s="61"/>
      <c r="E39" s="36"/>
      <c r="F39" s="61"/>
      <c r="G39" s="36"/>
      <c r="H39" s="61"/>
      <c r="I39" s="36"/>
      <c r="J39" s="61"/>
    </row>
    <row r="40" spans="1:10" s="20" customFormat="1" x14ac:dyDescent="0.2">
      <c r="A40" s="19" t="s">
        <v>20</v>
      </c>
      <c r="B40" s="54">
        <f>SUM(B41:B42)</f>
        <v>40432.5</v>
      </c>
      <c r="C40" s="95">
        <f>SUM(C41:C42)</f>
        <v>34684.5</v>
      </c>
      <c r="D40" s="60">
        <f t="shared" si="4"/>
        <v>85.783713596735296</v>
      </c>
      <c r="E40" s="39">
        <f>SUM(E41:E42)</f>
        <v>33235</v>
      </c>
      <c r="F40" s="60">
        <f t="shared" si="3"/>
        <v>95.820899825570493</v>
      </c>
      <c r="G40" s="39">
        <f>SUM(G41:G42)</f>
        <v>25826.9</v>
      </c>
      <c r="H40" s="60">
        <f t="shared" si="3"/>
        <v>77.709944335790581</v>
      </c>
      <c r="I40" s="39">
        <f>SUM(I41:I42)</f>
        <v>25393.200000000001</v>
      </c>
      <c r="J40" s="60">
        <f t="shared" si="3"/>
        <v>98.320743101185201</v>
      </c>
    </row>
    <row r="41" spans="1:10" s="16" customFormat="1" ht="31.5" x14ac:dyDescent="0.2">
      <c r="A41" s="17" t="s">
        <v>19</v>
      </c>
      <c r="B41" s="53">
        <v>30983.3</v>
      </c>
      <c r="C41" s="94">
        <f>30773+3824</f>
        <v>34597</v>
      </c>
      <c r="D41" s="61">
        <f t="shared" si="4"/>
        <v>111.66337994984396</v>
      </c>
      <c r="E41" s="36">
        <v>33102</v>
      </c>
      <c r="F41" s="61">
        <f>E41/C41%</f>
        <v>95.678816082319273</v>
      </c>
      <c r="G41" s="36">
        <v>25621</v>
      </c>
      <c r="H41" s="61">
        <f t="shared" si="3"/>
        <v>77.400157090206037</v>
      </c>
      <c r="I41" s="36">
        <v>25191</v>
      </c>
      <c r="J41" s="61">
        <f t="shared" si="3"/>
        <v>98.321689239295893</v>
      </c>
    </row>
    <row r="42" spans="1:10" s="16" customFormat="1" ht="31.5" x14ac:dyDescent="0.2">
      <c r="A42" s="17" t="s">
        <v>18</v>
      </c>
      <c r="B42" s="53">
        <v>9449.2000000000007</v>
      </c>
      <c r="C42" s="94">
        <f>79+8.5</f>
        <v>87.5</v>
      </c>
      <c r="D42" s="61">
        <f t="shared" si="4"/>
        <v>0.92600431782584769</v>
      </c>
      <c r="E42" s="36">
        <v>133</v>
      </c>
      <c r="F42" s="61">
        <f t="shared" si="3"/>
        <v>152</v>
      </c>
      <c r="G42" s="40">
        <v>205.9</v>
      </c>
      <c r="H42" s="61">
        <f t="shared" si="3"/>
        <v>154.81203007518798</v>
      </c>
      <c r="I42" s="40">
        <v>202.2</v>
      </c>
      <c r="J42" s="61">
        <f t="shared" si="3"/>
        <v>98.203011170471086</v>
      </c>
    </row>
    <row r="43" spans="1:10" s="20" customFormat="1" ht="31.5" x14ac:dyDescent="0.2">
      <c r="A43" s="17" t="s">
        <v>56</v>
      </c>
      <c r="B43" s="50">
        <f>SUM(B44:B49)</f>
        <v>23376.277000000002</v>
      </c>
      <c r="C43" s="93">
        <f>SUM(C44:C49)</f>
        <v>18878.349999999999</v>
      </c>
      <c r="D43" s="62">
        <f t="shared" si="4"/>
        <v>80.758582728977743</v>
      </c>
      <c r="E43" s="38">
        <f>SUM(E44:E54)</f>
        <v>17184.270000000004</v>
      </c>
      <c r="F43" s="62">
        <f t="shared" si="3"/>
        <v>91.026334398927901</v>
      </c>
      <c r="G43" s="38">
        <f>SUM(G44:G54)</f>
        <v>11912.934000000001</v>
      </c>
      <c r="H43" s="38">
        <f>SUM(H44:H54)</f>
        <v>460.20606289642376</v>
      </c>
      <c r="I43" s="38">
        <f>SUM(I44:I54)</f>
        <v>11830.891</v>
      </c>
      <c r="J43" s="62">
        <f t="shared" si="3"/>
        <v>99.311311554315651</v>
      </c>
    </row>
    <row r="44" spans="1:10" s="20" customFormat="1" ht="57.75" customHeight="1" x14ac:dyDescent="0.2">
      <c r="A44" s="77" t="s">
        <v>92</v>
      </c>
      <c r="B44" s="72">
        <v>11702.790999999999</v>
      </c>
      <c r="C44" s="93">
        <v>128</v>
      </c>
      <c r="D44" s="61">
        <v>0</v>
      </c>
      <c r="E44" s="36">
        <v>316.8</v>
      </c>
      <c r="F44" s="61">
        <v>95.309769902793164</v>
      </c>
      <c r="G44" s="36">
        <v>316.76</v>
      </c>
      <c r="H44" s="61">
        <v>95.309769902793164</v>
      </c>
      <c r="I44" s="36">
        <v>316.73</v>
      </c>
      <c r="J44" s="61">
        <f>I44/G44%</f>
        <v>99.99052910721052</v>
      </c>
    </row>
    <row r="45" spans="1:10" s="20" customFormat="1" ht="51" x14ac:dyDescent="0.2">
      <c r="A45" s="77" t="s">
        <v>74</v>
      </c>
      <c r="B45" s="73">
        <v>2765.973</v>
      </c>
      <c r="C45" s="94">
        <v>2458</v>
      </c>
      <c r="D45" s="61">
        <f t="shared" si="4"/>
        <v>88.865654147744749</v>
      </c>
      <c r="E45" s="36">
        <v>2198</v>
      </c>
      <c r="F45" s="61">
        <f>E45/C45%</f>
        <v>89.422294548413348</v>
      </c>
      <c r="G45" s="36">
        <v>1198.4000000000001</v>
      </c>
      <c r="H45" s="61">
        <f>G45/E45%</f>
        <v>54.522292993630579</v>
      </c>
      <c r="I45" s="36">
        <v>1198.4000000000001</v>
      </c>
      <c r="J45" s="61">
        <f>I45/G45%</f>
        <v>99.999999999999986</v>
      </c>
    </row>
    <row r="46" spans="1:10" s="20" customFormat="1" ht="25.5" x14ac:dyDescent="0.2">
      <c r="A46" s="78" t="s">
        <v>75</v>
      </c>
      <c r="B46" s="74">
        <v>1992.29</v>
      </c>
      <c r="C46" s="94">
        <f>1943+1295.35</f>
        <v>3238.35</v>
      </c>
      <c r="D46" s="58">
        <v>0</v>
      </c>
      <c r="E46" s="36">
        <v>1363.9</v>
      </c>
      <c r="F46" s="61">
        <v>0</v>
      </c>
      <c r="G46" s="36">
        <v>1363.9</v>
      </c>
      <c r="H46" s="61">
        <v>0</v>
      </c>
      <c r="I46" s="36">
        <v>1363.9</v>
      </c>
      <c r="J46" s="61">
        <v>0</v>
      </c>
    </row>
    <row r="47" spans="1:10" s="20" customFormat="1" ht="25.5" x14ac:dyDescent="0.2">
      <c r="A47" s="79" t="s">
        <v>76</v>
      </c>
      <c r="B47" s="75">
        <v>1009.999</v>
      </c>
      <c r="C47" s="94"/>
      <c r="D47" s="61">
        <f>C47/B47%</f>
        <v>0</v>
      </c>
      <c r="E47" s="36">
        <v>2021</v>
      </c>
      <c r="F47" s="61" t="e">
        <f>E47/C47%</f>
        <v>#DIV/0!</v>
      </c>
      <c r="G47" s="36">
        <v>0</v>
      </c>
      <c r="H47" s="61">
        <f>G47/E47%</f>
        <v>0</v>
      </c>
      <c r="I47" s="36">
        <v>0</v>
      </c>
      <c r="J47" s="61" t="e">
        <f>I47/G47%</f>
        <v>#DIV/0!</v>
      </c>
    </row>
    <row r="48" spans="1:10" s="20" customFormat="1" ht="26.25" customHeight="1" x14ac:dyDescent="0.2">
      <c r="A48" s="79" t="s">
        <v>93</v>
      </c>
      <c r="B48" s="75"/>
      <c r="C48" s="94">
        <v>5254.5</v>
      </c>
      <c r="D48" s="61"/>
      <c r="E48" s="36">
        <v>965.1</v>
      </c>
      <c r="F48" s="61"/>
      <c r="G48" s="36">
        <v>1060.8</v>
      </c>
      <c r="H48" s="61"/>
      <c r="I48" s="36">
        <v>1112.3</v>
      </c>
      <c r="J48" s="61">
        <f>I48/G48%</f>
        <v>104.85482654600303</v>
      </c>
    </row>
    <row r="49" spans="1:10" s="20" customFormat="1" x14ac:dyDescent="0.2">
      <c r="A49" s="80" t="s">
        <v>77</v>
      </c>
      <c r="B49" s="75">
        <f>SUM(B50:B54)</f>
        <v>5905.2240000000002</v>
      </c>
      <c r="C49" s="94">
        <f>C51+C52</f>
        <v>7799.5</v>
      </c>
      <c r="D49" s="58">
        <f>C49/B49%</f>
        <v>132.07797028529313</v>
      </c>
      <c r="E49" s="36"/>
      <c r="F49" s="58">
        <f>E49/C49%</f>
        <v>0</v>
      </c>
      <c r="G49" s="36"/>
      <c r="H49" s="58"/>
      <c r="I49" s="36"/>
      <c r="J49" s="58" t="e">
        <f t="shared" si="3"/>
        <v>#DIV/0!</v>
      </c>
    </row>
    <row r="50" spans="1:10" s="20" customFormat="1" ht="25.5" x14ac:dyDescent="0.2">
      <c r="A50" s="79" t="s">
        <v>97</v>
      </c>
      <c r="B50" s="76"/>
      <c r="C50" s="94"/>
      <c r="D50" s="58">
        <v>0</v>
      </c>
      <c r="E50" s="36">
        <v>401</v>
      </c>
      <c r="F50" s="58">
        <v>0</v>
      </c>
      <c r="G50" s="36">
        <v>310.37400000000002</v>
      </c>
      <c r="H50" s="104">
        <v>310.37400000000002</v>
      </c>
      <c r="I50" s="36">
        <v>305.161</v>
      </c>
      <c r="J50" s="58">
        <v>0</v>
      </c>
    </row>
    <row r="51" spans="1:10" s="20" customFormat="1" ht="25.5" x14ac:dyDescent="0.2">
      <c r="A51" s="79" t="s">
        <v>78</v>
      </c>
      <c r="B51" s="76">
        <v>176.5</v>
      </c>
      <c r="C51" s="94">
        <v>176.5</v>
      </c>
      <c r="D51" s="58"/>
      <c r="E51" s="36"/>
      <c r="F51" s="58"/>
      <c r="G51" s="36"/>
      <c r="H51" s="58"/>
      <c r="I51" s="36"/>
      <c r="J51" s="58"/>
    </row>
    <row r="52" spans="1:10" s="20" customFormat="1" ht="63.75" customHeight="1" x14ac:dyDescent="0.2">
      <c r="A52" s="81" t="s">
        <v>79</v>
      </c>
      <c r="B52" s="76">
        <v>5181.6729999999998</v>
      </c>
      <c r="C52" s="94">
        <v>7623</v>
      </c>
      <c r="D52" s="58">
        <v>0</v>
      </c>
      <c r="E52" s="36">
        <v>9873</v>
      </c>
      <c r="F52" s="58">
        <v>0</v>
      </c>
      <c r="G52" s="36">
        <v>7641.7</v>
      </c>
      <c r="H52" s="58">
        <v>0</v>
      </c>
      <c r="I52" s="36">
        <v>7513.4</v>
      </c>
      <c r="J52" s="58">
        <v>0</v>
      </c>
    </row>
    <row r="53" spans="1:10" s="20" customFormat="1" ht="43.5" customHeight="1" x14ac:dyDescent="0.2">
      <c r="A53" s="81" t="s">
        <v>96</v>
      </c>
      <c r="B53" s="76"/>
      <c r="C53" s="94"/>
      <c r="D53" s="58"/>
      <c r="E53" s="36">
        <v>45.47</v>
      </c>
      <c r="F53" s="58"/>
      <c r="G53" s="36">
        <v>21</v>
      </c>
      <c r="H53" s="58"/>
      <c r="I53" s="36">
        <v>21</v>
      </c>
      <c r="J53" s="58"/>
    </row>
    <row r="54" spans="1:10" s="20" customFormat="1" ht="32.25" customHeight="1" x14ac:dyDescent="0.2">
      <c r="A54" s="81" t="s">
        <v>80</v>
      </c>
      <c r="B54" s="76">
        <v>547.05100000000004</v>
      </c>
      <c r="C54" s="94"/>
      <c r="D54" s="58">
        <v>0</v>
      </c>
      <c r="E54" s="36"/>
      <c r="F54" s="58">
        <v>0</v>
      </c>
      <c r="G54" s="36"/>
      <c r="H54" s="58">
        <v>0</v>
      </c>
      <c r="I54" s="36"/>
      <c r="J54" s="58">
        <v>0</v>
      </c>
    </row>
    <row r="55" spans="1:10" s="20" customFormat="1" ht="31.5" x14ac:dyDescent="0.2">
      <c r="A55" s="17" t="s">
        <v>57</v>
      </c>
      <c r="B55" s="38">
        <f>SUM(B56:B64)</f>
        <v>135945.61111</v>
      </c>
      <c r="C55" s="93">
        <f>SUM(C56:C64)</f>
        <v>115016.47900000001</v>
      </c>
      <c r="D55" s="62">
        <f t="shared" si="4"/>
        <v>84.604775439888783</v>
      </c>
      <c r="E55" s="38">
        <f>SUM(E56:E64)</f>
        <v>117017.7</v>
      </c>
      <c r="F55" s="62">
        <f t="shared" si="3"/>
        <v>101.73994284766793</v>
      </c>
      <c r="G55" s="38">
        <f>SUM(G56:G64)</f>
        <v>193693.9</v>
      </c>
      <c r="H55" s="62" t="e">
        <f>SUM(H56:H67)</f>
        <v>#DIV/0!</v>
      </c>
      <c r="I55" s="38">
        <f>SUM(I56:I64)</f>
        <v>192344.50000000003</v>
      </c>
      <c r="J55" s="62">
        <f t="shared" si="3"/>
        <v>99.303333765286382</v>
      </c>
    </row>
    <row r="56" spans="1:10" s="20" customFormat="1" ht="47.25" x14ac:dyDescent="0.2">
      <c r="A56" s="17" t="s">
        <v>58</v>
      </c>
      <c r="B56" s="53">
        <v>2025.65</v>
      </c>
      <c r="C56" s="94">
        <f>1995+71.5</f>
        <v>2066.5</v>
      </c>
      <c r="D56" s="58">
        <f t="shared" si="4"/>
        <v>102.01663663515413</v>
      </c>
      <c r="E56" s="36">
        <v>2556</v>
      </c>
      <c r="F56" s="58">
        <f t="shared" si="3"/>
        <v>123.68739414468909</v>
      </c>
      <c r="G56" s="36">
        <v>1978.3</v>
      </c>
      <c r="H56" s="58">
        <f t="shared" si="3"/>
        <v>77.39827856025039</v>
      </c>
      <c r="I56" s="36">
        <v>1945.1</v>
      </c>
      <c r="J56" s="58">
        <f t="shared" si="3"/>
        <v>98.321791437092443</v>
      </c>
    </row>
    <row r="57" spans="1:10" s="20" customFormat="1" ht="35.25" customHeight="1" x14ac:dyDescent="0.2">
      <c r="A57" s="17" t="s">
        <v>59</v>
      </c>
      <c r="B57" s="53">
        <v>86280.3</v>
      </c>
      <c r="C57" s="94">
        <f>84308.7+3004.27</f>
        <v>87312.97</v>
      </c>
      <c r="D57" s="58">
        <f t="shared" si="4"/>
        <v>101.19687808225052</v>
      </c>
      <c r="E57" s="36">
        <v>112978</v>
      </c>
      <c r="F57" s="58">
        <f t="shared" si="3"/>
        <v>129.39429273795176</v>
      </c>
      <c r="G57" s="36">
        <v>190232.5</v>
      </c>
      <c r="H57" s="58"/>
      <c r="I57" s="36">
        <v>188751.2</v>
      </c>
      <c r="J57" s="58">
        <f t="shared" si="3"/>
        <v>99.221321277909936</v>
      </c>
    </row>
    <row r="58" spans="1:10" s="20" customFormat="1" ht="38.25" x14ac:dyDescent="0.2">
      <c r="A58" s="82" t="s">
        <v>81</v>
      </c>
      <c r="B58" s="75">
        <v>6982.1289999999999</v>
      </c>
      <c r="C58" s="96">
        <f>6095.96+356.699</f>
        <v>6452.6589999999997</v>
      </c>
      <c r="D58" s="58">
        <f t="shared" si="4"/>
        <v>92.41678290389649</v>
      </c>
      <c r="E58" s="36">
        <v>42.7</v>
      </c>
      <c r="F58" s="58">
        <f t="shared" si="3"/>
        <v>0.66174270172962812</v>
      </c>
      <c r="G58" s="36">
        <v>0</v>
      </c>
      <c r="H58" s="58">
        <f t="shared" si="3"/>
        <v>0</v>
      </c>
      <c r="I58" s="36">
        <v>0</v>
      </c>
      <c r="J58" s="58" t="e">
        <f t="shared" si="3"/>
        <v>#DIV/0!</v>
      </c>
    </row>
    <row r="59" spans="1:10" s="20" customFormat="1" ht="38.25" x14ac:dyDescent="0.2">
      <c r="A59" s="81" t="s">
        <v>82</v>
      </c>
      <c r="B59" s="73">
        <v>39.298999999999999</v>
      </c>
      <c r="C59" s="94">
        <v>4</v>
      </c>
      <c r="D59" s="58">
        <f t="shared" si="4"/>
        <v>10.178376040102801</v>
      </c>
      <c r="E59" s="36">
        <v>6</v>
      </c>
      <c r="F59" s="58">
        <f t="shared" si="3"/>
        <v>150</v>
      </c>
      <c r="G59" s="36">
        <v>6</v>
      </c>
      <c r="H59" s="58">
        <f t="shared" si="3"/>
        <v>100</v>
      </c>
      <c r="I59" s="36">
        <v>321.60000000000002</v>
      </c>
      <c r="J59" s="58">
        <f t="shared" si="3"/>
        <v>5360.0000000000009</v>
      </c>
    </row>
    <row r="60" spans="1:10" s="20" customFormat="1" ht="25.5" x14ac:dyDescent="0.2">
      <c r="A60" s="78" t="s">
        <v>83</v>
      </c>
      <c r="B60" s="73">
        <v>31440.5</v>
      </c>
      <c r="C60" s="94">
        <v>17036.25</v>
      </c>
      <c r="D60" s="58">
        <f t="shared" si="4"/>
        <v>54.185684069909833</v>
      </c>
      <c r="E60" s="36"/>
      <c r="F60" s="58">
        <f t="shared" si="3"/>
        <v>0</v>
      </c>
      <c r="G60" s="36">
        <v>0</v>
      </c>
      <c r="H60" s="58" t="e">
        <f t="shared" si="3"/>
        <v>#DIV/0!</v>
      </c>
      <c r="I60" s="36">
        <v>0</v>
      </c>
      <c r="J60" s="58" t="e">
        <f t="shared" si="3"/>
        <v>#DIV/0!</v>
      </c>
    </row>
    <row r="61" spans="1:10" s="20" customFormat="1" ht="25.5" x14ac:dyDescent="0.2">
      <c r="A61" s="83" t="s">
        <v>84</v>
      </c>
      <c r="B61" s="73">
        <v>2158</v>
      </c>
      <c r="C61" s="94">
        <v>1897.3</v>
      </c>
      <c r="D61" s="58">
        <f t="shared" si="4"/>
        <v>87.919369786839667</v>
      </c>
      <c r="E61" s="36">
        <v>1400</v>
      </c>
      <c r="F61" s="58">
        <f t="shared" si="3"/>
        <v>73.789068676540353</v>
      </c>
      <c r="G61" s="36">
        <v>1450</v>
      </c>
      <c r="H61" s="58">
        <f t="shared" si="3"/>
        <v>103.57142857142857</v>
      </c>
      <c r="I61" s="36">
        <v>1300</v>
      </c>
      <c r="J61" s="58">
        <f t="shared" si="3"/>
        <v>89.65517241379311</v>
      </c>
    </row>
    <row r="62" spans="1:10" s="20" customFormat="1" ht="38.25" x14ac:dyDescent="0.2">
      <c r="A62" s="81" t="s">
        <v>85</v>
      </c>
      <c r="B62" s="73">
        <v>6811.6350000000002</v>
      </c>
      <c r="C62" s="96"/>
      <c r="D62" s="58">
        <f t="shared" si="4"/>
        <v>0</v>
      </c>
      <c r="E62" s="36">
        <v>35</v>
      </c>
      <c r="F62" s="58" t="e">
        <f t="shared" si="3"/>
        <v>#DIV/0!</v>
      </c>
      <c r="G62" s="36">
        <v>27.1</v>
      </c>
      <c r="H62" s="58">
        <f t="shared" si="3"/>
        <v>77.428571428571431</v>
      </c>
      <c r="I62" s="36">
        <v>26.6</v>
      </c>
      <c r="J62" s="58">
        <f t="shared" si="3"/>
        <v>98.154981549815503</v>
      </c>
    </row>
    <row r="63" spans="1:10" s="16" customFormat="1" ht="27.75" customHeight="1" x14ac:dyDescent="0.2">
      <c r="A63" s="81" t="s">
        <v>86</v>
      </c>
      <c r="B63" s="73">
        <v>197.8</v>
      </c>
      <c r="C63" s="94">
        <v>246.8</v>
      </c>
      <c r="D63" s="58">
        <f t="shared" si="4"/>
        <v>124.77249747219413</v>
      </c>
      <c r="E63" s="36">
        <v>0</v>
      </c>
      <c r="F63" s="58">
        <f t="shared" si="3"/>
        <v>0</v>
      </c>
      <c r="G63" s="36"/>
      <c r="H63" s="58">
        <v>0</v>
      </c>
      <c r="I63" s="36"/>
      <c r="J63" s="58">
        <v>0</v>
      </c>
    </row>
    <row r="64" spans="1:10" s="16" customFormat="1" ht="38.25" x14ac:dyDescent="0.2">
      <c r="A64" s="81" t="s">
        <v>87</v>
      </c>
      <c r="B64" s="73">
        <v>10.298109999999999</v>
      </c>
      <c r="C64" s="94"/>
      <c r="D64" s="58">
        <f t="shared" si="4"/>
        <v>0</v>
      </c>
      <c r="E64" s="36"/>
      <c r="F64" s="58" t="e">
        <f t="shared" si="3"/>
        <v>#DIV/0!</v>
      </c>
      <c r="G64" s="36"/>
      <c r="H64" s="58"/>
      <c r="I64" s="36"/>
      <c r="J64" s="58" t="e">
        <f t="shared" si="3"/>
        <v>#DIV/0!</v>
      </c>
    </row>
    <row r="65" spans="1:213" s="16" customFormat="1" ht="38.25" x14ac:dyDescent="0.2">
      <c r="A65" s="81" t="s">
        <v>88</v>
      </c>
      <c r="B65" s="76">
        <v>-3190.663</v>
      </c>
      <c r="C65" s="94"/>
      <c r="D65" s="58"/>
      <c r="E65" s="36"/>
      <c r="F65" s="58"/>
      <c r="G65" s="36"/>
      <c r="H65" s="58"/>
      <c r="I65" s="36"/>
      <c r="J65" s="58"/>
    </row>
    <row r="66" spans="1:213" s="16" customFormat="1" x14ac:dyDescent="0.2">
      <c r="A66" s="81" t="s">
        <v>67</v>
      </c>
      <c r="B66" s="84">
        <f>B67+B68</f>
        <v>4316.43</v>
      </c>
      <c r="C66" s="93">
        <f>SUM(C67:C68)</f>
        <v>4527.2</v>
      </c>
      <c r="D66" s="38">
        <f t="shared" ref="D66:J66" si="5">SUM(D67:D68)</f>
        <v>104.46358283431746</v>
      </c>
      <c r="E66" s="38">
        <f t="shared" si="5"/>
        <v>4154.2</v>
      </c>
      <c r="F66" s="38">
        <f t="shared" si="5"/>
        <v>150.08861832065949</v>
      </c>
      <c r="G66" s="38">
        <f t="shared" si="5"/>
        <v>3888.4</v>
      </c>
      <c r="H66" s="38">
        <f t="shared" si="5"/>
        <v>172.63903902450016</v>
      </c>
      <c r="I66" s="38">
        <f t="shared" si="5"/>
        <v>3883.4</v>
      </c>
      <c r="J66" s="38">
        <f t="shared" si="5"/>
        <v>198.30451000339099</v>
      </c>
    </row>
    <row r="67" spans="1:213" s="16" customFormat="1" ht="51" x14ac:dyDescent="0.2">
      <c r="A67" s="77" t="s">
        <v>89</v>
      </c>
      <c r="B67" s="76">
        <v>3601.2550000000001</v>
      </c>
      <c r="C67" s="94">
        <v>3762</v>
      </c>
      <c r="D67" s="58">
        <f t="shared" si="4"/>
        <v>104.46358283431746</v>
      </c>
      <c r="E67" s="36">
        <v>3773.2</v>
      </c>
      <c r="F67" s="58">
        <f t="shared" si="3"/>
        <v>100.29771398192452</v>
      </c>
      <c r="G67" s="36">
        <v>3593.5</v>
      </c>
      <c r="H67" s="58">
        <f t="shared" si="3"/>
        <v>95.237464221350578</v>
      </c>
      <c r="I67" s="36">
        <v>3593.5</v>
      </c>
      <c r="J67" s="58">
        <f t="shared" si="3"/>
        <v>100</v>
      </c>
    </row>
    <row r="68" spans="1:213" s="16" customFormat="1" ht="38.25" x14ac:dyDescent="0.2">
      <c r="A68" s="77" t="s">
        <v>90</v>
      </c>
      <c r="B68" s="76">
        <v>715.17499999999995</v>
      </c>
      <c r="C68" s="94">
        <v>765.2</v>
      </c>
      <c r="D68" s="58">
        <v>0</v>
      </c>
      <c r="E68" s="36">
        <v>381</v>
      </c>
      <c r="F68" s="58">
        <f t="shared" si="3"/>
        <v>49.790904338734968</v>
      </c>
      <c r="G68" s="36">
        <v>294.89999999999998</v>
      </c>
      <c r="H68" s="58">
        <f t="shared" si="3"/>
        <v>77.4015748031496</v>
      </c>
      <c r="I68" s="36">
        <v>289.89999999999998</v>
      </c>
      <c r="J68" s="58">
        <f t="shared" si="3"/>
        <v>98.304510003390973</v>
      </c>
    </row>
    <row r="69" spans="1:213" s="16" customFormat="1" ht="31.5" hidden="1" x14ac:dyDescent="0.2">
      <c r="A69" s="17" t="s">
        <v>17</v>
      </c>
      <c r="B69" s="53"/>
      <c r="C69" s="94"/>
      <c r="D69" s="61"/>
      <c r="E69" s="36"/>
      <c r="F69" s="61"/>
      <c r="G69" s="36"/>
      <c r="H69" s="61"/>
      <c r="I69" s="36"/>
      <c r="J69" s="61"/>
      <c r="HE69" s="18">
        <v>153900.098</v>
      </c>
    </row>
    <row r="70" spans="1:213" s="16" customFormat="1" ht="31.5" hidden="1" x14ac:dyDescent="0.2">
      <c r="A70" s="17" t="s">
        <v>16</v>
      </c>
      <c r="B70" s="53"/>
      <c r="C70" s="94"/>
      <c r="D70" s="61"/>
      <c r="E70" s="36"/>
      <c r="F70" s="61"/>
      <c r="G70" s="36"/>
      <c r="H70" s="61"/>
      <c r="I70" s="36"/>
      <c r="J70" s="61"/>
    </row>
    <row r="71" spans="1:213" s="14" customFormat="1" x14ac:dyDescent="0.2">
      <c r="A71" s="15" t="s">
        <v>15</v>
      </c>
      <c r="B71" s="50">
        <f>B33+B37</f>
        <v>243678.73420999997</v>
      </c>
      <c r="C71" s="93">
        <f>C33+C37</f>
        <v>208631.52900000001</v>
      </c>
      <c r="D71" s="60">
        <f t="shared" si="4"/>
        <v>85.617454340600517</v>
      </c>
      <c r="E71" s="38">
        <f>E33+E37</f>
        <v>211400.17</v>
      </c>
      <c r="F71" s="60">
        <f t="shared" si="3"/>
        <v>101.32704822385691</v>
      </c>
      <c r="G71" s="38">
        <f>G33+G37</f>
        <v>277242.13399999996</v>
      </c>
      <c r="H71" s="60">
        <f t="shared" si="3"/>
        <v>131.14565328873667</v>
      </c>
      <c r="I71" s="38">
        <f>I33+I37</f>
        <v>277827.99100000004</v>
      </c>
      <c r="J71" s="60">
        <f t="shared" si="3"/>
        <v>100.21131600437042</v>
      </c>
    </row>
    <row r="72" spans="1:213" s="12" customFormat="1" ht="11.25" customHeight="1" x14ac:dyDescent="0.2">
      <c r="A72" s="13"/>
      <c r="B72" s="34"/>
      <c r="C72" s="90"/>
      <c r="D72" s="61"/>
      <c r="E72" s="34"/>
      <c r="F72" s="61"/>
      <c r="G72" s="34"/>
      <c r="H72" s="61"/>
      <c r="I72" s="34"/>
      <c r="J72" s="61"/>
    </row>
    <row r="73" spans="1:213" s="6" customFormat="1" x14ac:dyDescent="0.2">
      <c r="A73" s="5" t="s">
        <v>14</v>
      </c>
      <c r="B73" s="34">
        <f>B34+B71-B92</f>
        <v>7425.6397599999618</v>
      </c>
      <c r="C73" s="90">
        <f>C34+C71-C92</f>
        <v>-2477.79402999999</v>
      </c>
      <c r="D73" s="60"/>
      <c r="E73" s="34">
        <f>E71-E92</f>
        <v>-1990.6300000000047</v>
      </c>
      <c r="F73" s="60"/>
      <c r="G73" s="34">
        <f>G71-G92</f>
        <v>3.3999999926891178E-2</v>
      </c>
      <c r="H73" s="60"/>
      <c r="I73" s="34">
        <f>I71-I92</f>
        <v>-8.9999999618157744E-3</v>
      </c>
      <c r="J73" s="60"/>
    </row>
    <row r="74" spans="1:213" s="6" customFormat="1" x14ac:dyDescent="0.2">
      <c r="A74" s="9" t="s">
        <v>13</v>
      </c>
      <c r="B74" s="44">
        <f>B71/B33</f>
        <v>5.693617269778577</v>
      </c>
      <c r="C74" s="97">
        <f>C71/C33</f>
        <v>5.8728086980999299</v>
      </c>
      <c r="D74" s="61"/>
      <c r="E74" s="44">
        <f>E71/E33</f>
        <v>5.3103612248486529</v>
      </c>
      <c r="F74" s="61"/>
      <c r="G74" s="44">
        <f>G71/G33</f>
        <v>6.6136005248091596</v>
      </c>
      <c r="H74" s="61"/>
      <c r="I74" s="44">
        <f>I71/I33</f>
        <v>6.2607713854335687</v>
      </c>
      <c r="J74" s="61"/>
    </row>
    <row r="75" spans="1:213" s="6" customFormat="1" x14ac:dyDescent="0.2">
      <c r="A75" s="11"/>
      <c r="B75" s="33"/>
      <c r="C75" s="91"/>
      <c r="D75" s="61"/>
      <c r="E75" s="33"/>
      <c r="F75" s="61"/>
      <c r="G75" s="33"/>
      <c r="H75" s="61"/>
      <c r="I75" s="33"/>
      <c r="J75" s="61"/>
    </row>
    <row r="76" spans="1:213" s="6" customFormat="1" x14ac:dyDescent="0.2">
      <c r="A76" s="10" t="s">
        <v>12</v>
      </c>
      <c r="B76" s="33"/>
      <c r="C76" s="91"/>
      <c r="D76" s="61"/>
      <c r="E76" s="33"/>
      <c r="F76" s="61"/>
      <c r="G76" s="33"/>
      <c r="H76" s="61"/>
      <c r="I76" s="33"/>
      <c r="J76" s="61"/>
    </row>
    <row r="77" spans="1:213" s="6" customFormat="1" x14ac:dyDescent="0.2">
      <c r="A77" s="5" t="s">
        <v>11</v>
      </c>
      <c r="B77" s="70">
        <v>23935.1</v>
      </c>
      <c r="C77" s="98">
        <f>20787.99018+3824</f>
        <v>24611.990180000001</v>
      </c>
      <c r="D77" s="61">
        <f t="shared" si="4"/>
        <v>102.82802319605935</v>
      </c>
      <c r="E77" s="33">
        <v>18761.900000000001</v>
      </c>
      <c r="F77" s="61">
        <f t="shared" si="3"/>
        <v>76.230730886794134</v>
      </c>
      <c r="G77" s="33">
        <v>17712</v>
      </c>
      <c r="H77" s="61">
        <f t="shared" si="3"/>
        <v>94.404084874133204</v>
      </c>
      <c r="I77" s="33">
        <v>18018.400000000001</v>
      </c>
      <c r="J77" s="61">
        <f t="shared" si="3"/>
        <v>101.72990063233966</v>
      </c>
      <c r="K77" s="46"/>
    </row>
    <row r="78" spans="1:213" s="6" customFormat="1" x14ac:dyDescent="0.2">
      <c r="A78" s="5" t="s">
        <v>10</v>
      </c>
      <c r="B78" s="70">
        <v>197.8</v>
      </c>
      <c r="C78" s="98">
        <v>246.8</v>
      </c>
      <c r="D78" s="61">
        <f t="shared" si="4"/>
        <v>124.77249747219413</v>
      </c>
      <c r="E78" s="33">
        <v>0</v>
      </c>
      <c r="F78" s="61">
        <f t="shared" si="3"/>
        <v>0</v>
      </c>
      <c r="G78" s="45">
        <v>0</v>
      </c>
      <c r="H78" s="61">
        <v>0</v>
      </c>
      <c r="I78" s="45">
        <v>0</v>
      </c>
      <c r="J78" s="61">
        <v>0</v>
      </c>
      <c r="K78" s="46"/>
    </row>
    <row r="79" spans="1:213" s="6" customFormat="1" ht="31.5" x14ac:dyDescent="0.2">
      <c r="A79" s="9" t="s">
        <v>9</v>
      </c>
      <c r="B79" s="70">
        <v>3646.7</v>
      </c>
      <c r="C79" s="98">
        <v>3387.616</v>
      </c>
      <c r="D79" s="61">
        <f t="shared" si="4"/>
        <v>92.895384868511258</v>
      </c>
      <c r="E79" s="33">
        <v>2480.5</v>
      </c>
      <c r="F79" s="61">
        <f t="shared" si="3"/>
        <v>73.222584850230959</v>
      </c>
      <c r="G79" s="33">
        <v>2035.5</v>
      </c>
      <c r="H79" s="61">
        <f t="shared" si="3"/>
        <v>82.060068534569638</v>
      </c>
      <c r="I79" s="33">
        <v>2200.5</v>
      </c>
      <c r="J79" s="61">
        <f t="shared" si="3"/>
        <v>108.10611643330877</v>
      </c>
      <c r="K79" s="46"/>
    </row>
    <row r="80" spans="1:213" s="6" customFormat="1" x14ac:dyDescent="0.2">
      <c r="A80" s="5" t="s">
        <v>8</v>
      </c>
      <c r="B80" s="71">
        <v>34781.599999999999</v>
      </c>
      <c r="C80" s="98">
        <v>25606.664339999999</v>
      </c>
      <c r="D80" s="61">
        <f>C80/B80%</f>
        <v>73.621294995054853</v>
      </c>
      <c r="E80" s="45">
        <v>19298.7</v>
      </c>
      <c r="F80" s="61">
        <f t="shared" si="3"/>
        <v>75.365927181126949</v>
      </c>
      <c r="G80" s="33">
        <v>18154.7</v>
      </c>
      <c r="H80" s="61">
        <v>124</v>
      </c>
      <c r="I80" s="33">
        <v>18343.099999999999</v>
      </c>
      <c r="J80" s="61">
        <f t="shared" si="3"/>
        <v>101.03774780084495</v>
      </c>
      <c r="K80" s="46"/>
    </row>
    <row r="81" spans="1:215" s="6" customFormat="1" x14ac:dyDescent="0.2">
      <c r="A81" s="5" t="s">
        <v>7</v>
      </c>
      <c r="B81" s="71">
        <v>1619.1</v>
      </c>
      <c r="C81" s="98">
        <v>644.90200000000004</v>
      </c>
      <c r="D81" s="61">
        <f t="shared" si="4"/>
        <v>39.830893706380095</v>
      </c>
      <c r="E81" s="33">
        <v>3210.3</v>
      </c>
      <c r="F81" s="61">
        <f>E81/C81%</f>
        <v>497.79656443924807</v>
      </c>
      <c r="G81" s="33">
        <v>21</v>
      </c>
      <c r="H81" s="61">
        <f t="shared" si="3"/>
        <v>0.65414447247920748</v>
      </c>
      <c r="I81" s="33">
        <v>21</v>
      </c>
      <c r="J81" s="61">
        <f t="shared" si="3"/>
        <v>100</v>
      </c>
      <c r="K81" s="46"/>
    </row>
    <row r="82" spans="1:215" s="6" customFormat="1" x14ac:dyDescent="0.2">
      <c r="A82" s="5" t="s">
        <v>6</v>
      </c>
      <c r="B82" s="71">
        <v>155.1</v>
      </c>
      <c r="C82" s="98">
        <v>175</v>
      </c>
      <c r="D82" s="61">
        <f t="shared" si="4"/>
        <v>112.83043197936816</v>
      </c>
      <c r="E82" s="33">
        <v>200</v>
      </c>
      <c r="F82" s="61">
        <f t="shared" si="3"/>
        <v>114.28571428571429</v>
      </c>
      <c r="G82" s="45">
        <v>0</v>
      </c>
      <c r="H82" s="61">
        <f t="shared" si="3"/>
        <v>0</v>
      </c>
      <c r="I82" s="45">
        <v>0</v>
      </c>
      <c r="J82" s="61">
        <v>0</v>
      </c>
      <c r="K82" s="46"/>
    </row>
    <row r="83" spans="1:215" s="6" customFormat="1" x14ac:dyDescent="0.2">
      <c r="A83" s="5" t="s">
        <v>5</v>
      </c>
      <c r="B83" s="71">
        <v>107005.6</v>
      </c>
      <c r="C83" s="98">
        <f>105379.51431+3071.5</f>
        <v>108451.01431</v>
      </c>
      <c r="D83" s="61">
        <f t="shared" si="4"/>
        <v>101.35078380010017</v>
      </c>
      <c r="E83" s="45">
        <v>133333.6</v>
      </c>
      <c r="F83" s="61">
        <f t="shared" si="3"/>
        <v>122.94361730806388</v>
      </c>
      <c r="G83" s="33">
        <v>207030.2</v>
      </c>
      <c r="H83" s="61">
        <f t="shared" si="3"/>
        <v>155.27233945532109</v>
      </c>
      <c r="I83" s="33">
        <v>206227.8</v>
      </c>
      <c r="J83" s="61">
        <f t="shared" si="3"/>
        <v>99.612423694707331</v>
      </c>
      <c r="K83" s="46"/>
    </row>
    <row r="84" spans="1:215" s="6" customFormat="1" x14ac:dyDescent="0.2">
      <c r="A84" s="5" t="s">
        <v>61</v>
      </c>
      <c r="B84" s="71">
        <v>1709.2</v>
      </c>
      <c r="C84" s="98">
        <v>1609.98</v>
      </c>
      <c r="D84" s="61">
        <f t="shared" si="4"/>
        <v>94.194945003510426</v>
      </c>
      <c r="E84" s="45">
        <v>2088.5</v>
      </c>
      <c r="F84" s="61">
        <f t="shared" si="3"/>
        <v>129.72210834917203</v>
      </c>
      <c r="G84" s="33">
        <v>2088.5</v>
      </c>
      <c r="H84" s="61">
        <f t="shared" si="3"/>
        <v>99.999999999999986</v>
      </c>
      <c r="I84" s="33">
        <v>2088.5</v>
      </c>
      <c r="J84" s="61">
        <f t="shared" si="3"/>
        <v>99.999999999999986</v>
      </c>
      <c r="K84" s="46"/>
    </row>
    <row r="85" spans="1:215" s="6" customFormat="1" x14ac:dyDescent="0.2">
      <c r="A85" s="5" t="s">
        <v>4</v>
      </c>
      <c r="B85" s="71">
        <v>167.5</v>
      </c>
      <c r="C85" s="98">
        <v>284</v>
      </c>
      <c r="D85" s="61">
        <f t="shared" si="4"/>
        <v>169.55223880597015</v>
      </c>
      <c r="E85" s="45">
        <v>300</v>
      </c>
      <c r="F85" s="61">
        <f t="shared" si="3"/>
        <v>105.63380281690141</v>
      </c>
      <c r="G85" s="45">
        <v>35</v>
      </c>
      <c r="H85" s="61">
        <f t="shared" si="3"/>
        <v>11.666666666666666</v>
      </c>
      <c r="I85" s="45">
        <v>34.6</v>
      </c>
      <c r="J85" s="61">
        <f t="shared" si="3"/>
        <v>98.857142857142861</v>
      </c>
      <c r="K85" s="46"/>
    </row>
    <row r="86" spans="1:215" s="6" customFormat="1" x14ac:dyDescent="0.2">
      <c r="A86" s="5" t="s">
        <v>3</v>
      </c>
      <c r="B86" s="71">
        <v>56243.9</v>
      </c>
      <c r="C86" s="98">
        <f>32149.4872+1664.819</f>
        <v>33814.306199999999</v>
      </c>
      <c r="D86" s="61">
        <f t="shared" si="4"/>
        <v>60.120841904633217</v>
      </c>
      <c r="E86" s="45">
        <v>11549.4</v>
      </c>
      <c r="F86" s="61">
        <f t="shared" si="3"/>
        <v>34.155365872921564</v>
      </c>
      <c r="G86" s="45">
        <v>9864.7999999999993</v>
      </c>
      <c r="H86" s="61">
        <f t="shared" si="3"/>
        <v>85.413960898401641</v>
      </c>
      <c r="I86" s="45">
        <v>10210.1</v>
      </c>
      <c r="J86" s="61">
        <f t="shared" si="3"/>
        <v>103.5003243856946</v>
      </c>
      <c r="K86" s="46"/>
    </row>
    <row r="87" spans="1:215" s="6" customFormat="1" x14ac:dyDescent="0.2">
      <c r="A87" s="5" t="s">
        <v>2</v>
      </c>
      <c r="B87" s="71">
        <v>1652.3</v>
      </c>
      <c r="C87" s="98">
        <v>487.9</v>
      </c>
      <c r="D87" s="61">
        <f t="shared" si="4"/>
        <v>29.528535980148881</v>
      </c>
      <c r="E87" s="43">
        <v>374.2</v>
      </c>
      <c r="F87" s="61">
        <f t="shared" si="3"/>
        <v>76.696044271367086</v>
      </c>
      <c r="G87" s="45">
        <v>0</v>
      </c>
      <c r="H87" s="61">
        <f t="shared" si="3"/>
        <v>0</v>
      </c>
      <c r="I87" s="45">
        <v>374.2</v>
      </c>
      <c r="J87" s="61">
        <v>0</v>
      </c>
      <c r="K87" s="46"/>
    </row>
    <row r="88" spans="1:215" s="6" customFormat="1" x14ac:dyDescent="0.2">
      <c r="A88" s="5" t="s">
        <v>1</v>
      </c>
      <c r="B88" s="71">
        <v>33</v>
      </c>
      <c r="C88" s="98">
        <v>12</v>
      </c>
      <c r="D88" s="61">
        <f t="shared" si="4"/>
        <v>36.36363636363636</v>
      </c>
      <c r="E88" s="42">
        <v>40</v>
      </c>
      <c r="F88" s="61">
        <f t="shared" si="3"/>
        <v>333.33333333333337</v>
      </c>
      <c r="G88" s="45">
        <v>0</v>
      </c>
      <c r="H88" s="61">
        <f t="shared" si="3"/>
        <v>0</v>
      </c>
      <c r="I88" s="45">
        <v>80</v>
      </c>
      <c r="J88" s="61">
        <v>0</v>
      </c>
      <c r="K88" s="46"/>
    </row>
    <row r="89" spans="1:215" s="6" customFormat="1" ht="38.25" customHeight="1" x14ac:dyDescent="0.2">
      <c r="A89" s="5" t="s">
        <v>91</v>
      </c>
      <c r="B89" s="71">
        <v>0.22</v>
      </c>
      <c r="C89" s="98"/>
      <c r="D89" s="61"/>
      <c r="E89" s="42"/>
      <c r="F89" s="61"/>
      <c r="G89" s="45"/>
      <c r="H89" s="61"/>
      <c r="I89" s="45"/>
      <c r="J89" s="61"/>
      <c r="K89" s="46"/>
    </row>
    <row r="90" spans="1:215" s="6" customFormat="1" ht="47.25" x14ac:dyDescent="0.2">
      <c r="A90" s="5" t="s">
        <v>62</v>
      </c>
      <c r="B90" s="42">
        <v>21274.6</v>
      </c>
      <c r="C90" s="99">
        <v>20029</v>
      </c>
      <c r="D90" s="61">
        <f t="shared" si="4"/>
        <v>94.145130813270299</v>
      </c>
      <c r="E90" s="42">
        <v>21753.7</v>
      </c>
      <c r="F90" s="61">
        <f t="shared" si="3"/>
        <v>108.611014029657</v>
      </c>
      <c r="G90" s="43">
        <v>20300.400000000001</v>
      </c>
      <c r="H90" s="61">
        <f t="shared" si="3"/>
        <v>93.319297406877908</v>
      </c>
      <c r="I90" s="43">
        <v>20229.8</v>
      </c>
      <c r="J90" s="61">
        <f t="shared" si="3"/>
        <v>99.652223601505369</v>
      </c>
      <c r="K90" s="46"/>
    </row>
    <row r="91" spans="1:215" s="6" customFormat="1" x14ac:dyDescent="0.2">
      <c r="A91" s="5"/>
      <c r="B91" s="42"/>
      <c r="C91" s="100"/>
      <c r="D91" s="63"/>
      <c r="E91" s="42"/>
      <c r="F91" s="63"/>
      <c r="G91" s="43"/>
      <c r="H91" s="63"/>
      <c r="I91" s="43"/>
      <c r="J91" s="63"/>
    </row>
    <row r="92" spans="1:215" x14ac:dyDescent="0.25">
      <c r="A92" s="5" t="s">
        <v>0</v>
      </c>
      <c r="B92" s="55">
        <f>SUM(B77:B90)</f>
        <v>252421.72</v>
      </c>
      <c r="C92" s="101">
        <f>SUM(C77:C90)</f>
        <v>219361.17303000001</v>
      </c>
      <c r="D92" s="64">
        <v>124.84773935280262</v>
      </c>
      <c r="E92" s="41">
        <f>SUM(E77:E90)</f>
        <v>213390.80000000002</v>
      </c>
      <c r="F92" s="64">
        <f>E92/C92%</f>
        <v>97.278290890073109</v>
      </c>
      <c r="G92" s="41">
        <f>SUM(G77:G90)</f>
        <v>277242.10000000003</v>
      </c>
      <c r="H92" s="64">
        <f>G92/E92%</f>
        <v>129.92223657252327</v>
      </c>
      <c r="I92" s="41">
        <f>SUM(I77:I90)</f>
        <v>277828</v>
      </c>
      <c r="J92" s="64">
        <f>I92/G92%</f>
        <v>100.21133154019536</v>
      </c>
      <c r="K92" s="48"/>
      <c r="L92" s="48"/>
    </row>
    <row r="93" spans="1:215" s="2" customFormat="1" x14ac:dyDescent="0.25">
      <c r="A93" s="3"/>
      <c r="C93" s="102"/>
      <c r="D93" s="8"/>
      <c r="E93" s="8"/>
      <c r="G93" s="8"/>
      <c r="I93" s="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</row>
    <row r="94" spans="1:215" s="2" customFormat="1" x14ac:dyDescent="0.25">
      <c r="A94" s="3"/>
      <c r="C94" s="102"/>
      <c r="D94" s="8"/>
      <c r="E94" s="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</row>
    <row r="95" spans="1:215" s="2" customFormat="1" x14ac:dyDescent="0.25">
      <c r="A95" s="3"/>
      <c r="C95" s="102"/>
      <c r="D95" s="8"/>
      <c r="E95" s="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</row>
    <row r="96" spans="1:215" s="2" customFormat="1" x14ac:dyDescent="0.25">
      <c r="A96" s="3"/>
      <c r="C96" s="102"/>
      <c r="D96" s="8"/>
      <c r="E96" s="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</row>
    <row r="97" spans="1:215" s="2" customFormat="1" x14ac:dyDescent="0.25">
      <c r="A97" s="3"/>
      <c r="C97" s="102"/>
      <c r="D97" s="8"/>
      <c r="E97" s="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</row>
    <row r="98" spans="1:215" s="2" customFormat="1" x14ac:dyDescent="0.25">
      <c r="A98" s="3"/>
      <c r="C98" s="102"/>
      <c r="D98" s="8"/>
      <c r="E98" s="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</row>
    <row r="99" spans="1:215" s="2" customFormat="1" x14ac:dyDescent="0.25">
      <c r="A99" s="3"/>
      <c r="C99" s="102"/>
      <c r="D99" s="8"/>
      <c r="E99" s="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</row>
    <row r="100" spans="1:215" s="2" customFormat="1" x14ac:dyDescent="0.25">
      <c r="A100" s="3"/>
      <c r="C100" s="102"/>
      <c r="D100" s="8"/>
      <c r="E100" s="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</row>
    <row r="101" spans="1:215" s="2" customFormat="1" x14ac:dyDescent="0.25">
      <c r="A101" s="3"/>
      <c r="C101" s="102"/>
      <c r="D101" s="8"/>
      <c r="E101" s="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</row>
    <row r="102" spans="1:215" s="2" customFormat="1" x14ac:dyDescent="0.25">
      <c r="A102" s="3"/>
      <c r="C102" s="102"/>
      <c r="D102" s="8"/>
      <c r="E102" s="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</row>
    <row r="103" spans="1:215" s="2" customFormat="1" x14ac:dyDescent="0.25">
      <c r="A103" s="3"/>
      <c r="C103" s="102"/>
      <c r="D103" s="8"/>
      <c r="E103" s="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</row>
    <row r="104" spans="1:215" s="2" customFormat="1" x14ac:dyDescent="0.25">
      <c r="A104" s="3"/>
      <c r="C104" s="102"/>
      <c r="D104" s="8"/>
      <c r="E104" s="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</row>
    <row r="105" spans="1:215" s="2" customFormat="1" x14ac:dyDescent="0.25">
      <c r="A105" s="3"/>
      <c r="C105" s="102"/>
      <c r="D105" s="8"/>
      <c r="E105" s="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</row>
    <row r="106" spans="1:215" s="2" customFormat="1" x14ac:dyDescent="0.25">
      <c r="A106" s="3"/>
      <c r="C106" s="102"/>
      <c r="D106" s="7"/>
      <c r="E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</row>
    <row r="107" spans="1:215" s="2" customFormat="1" x14ac:dyDescent="0.25">
      <c r="A107" s="3"/>
      <c r="C107" s="102"/>
      <c r="D107" s="7"/>
      <c r="E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</row>
    <row r="108" spans="1:215" s="2" customFormat="1" x14ac:dyDescent="0.25">
      <c r="A108" s="3"/>
      <c r="C108" s="102"/>
      <c r="D108" s="7"/>
      <c r="E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</row>
    <row r="109" spans="1:215" s="2" customFormat="1" x14ac:dyDescent="0.25">
      <c r="A109" s="3"/>
      <c r="C109" s="102"/>
      <c r="D109" s="4"/>
      <c r="E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</row>
    <row r="110" spans="1:215" s="2" customFormat="1" x14ac:dyDescent="0.25">
      <c r="A110" s="3"/>
      <c r="C110" s="10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</row>
    <row r="111" spans="1:215" s="2" customFormat="1" x14ac:dyDescent="0.25">
      <c r="A111" s="3"/>
      <c r="C111" s="10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</row>
    <row r="112" spans="1:215" s="2" customFormat="1" x14ac:dyDescent="0.25">
      <c r="A112" s="3"/>
      <c r="C112" s="10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</row>
    <row r="113" spans="1:215" s="2" customFormat="1" x14ac:dyDescent="0.25">
      <c r="A113" s="3"/>
      <c r="C113" s="10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</row>
    <row r="114" spans="1:215" s="2" customFormat="1" x14ac:dyDescent="0.25">
      <c r="A114" s="3"/>
      <c r="C114" s="10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</row>
    <row r="115" spans="1:215" s="2" customFormat="1" x14ac:dyDescent="0.25">
      <c r="A115" s="3"/>
      <c r="C115" s="10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</row>
    <row r="116" spans="1:215" s="2" customFormat="1" x14ac:dyDescent="0.25">
      <c r="A116" s="3"/>
      <c r="C116" s="10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</row>
    <row r="117" spans="1:215" s="2" customFormat="1" x14ac:dyDescent="0.25">
      <c r="A117" s="3"/>
      <c r="C117" s="10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</row>
    <row r="118" spans="1:215" s="2" customFormat="1" x14ac:dyDescent="0.25">
      <c r="A118" s="3"/>
      <c r="C118" s="10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</row>
    <row r="119" spans="1:215" s="2" customFormat="1" x14ac:dyDescent="0.25">
      <c r="A119" s="3"/>
      <c r="C119" s="10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</row>
    <row r="120" spans="1:215" s="2" customFormat="1" x14ac:dyDescent="0.25">
      <c r="A120" s="3"/>
      <c r="C120" s="10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</row>
    <row r="121" spans="1:215" s="2" customFormat="1" x14ac:dyDescent="0.25">
      <c r="A121" s="3"/>
      <c r="C121" s="10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</row>
    <row r="122" spans="1:215" s="2" customFormat="1" x14ac:dyDescent="0.25">
      <c r="A122" s="3"/>
      <c r="C122" s="10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</row>
    <row r="123" spans="1:215" s="2" customFormat="1" x14ac:dyDescent="0.25">
      <c r="A123" s="3"/>
      <c r="C123" s="10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</row>
    <row r="124" spans="1:215" s="2" customFormat="1" x14ac:dyDescent="0.25">
      <c r="A124" s="3"/>
      <c r="C124" s="10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</row>
    <row r="125" spans="1:215" s="2" customFormat="1" x14ac:dyDescent="0.25">
      <c r="A125" s="3"/>
      <c r="C125" s="10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</row>
    <row r="126" spans="1:215" s="2" customFormat="1" x14ac:dyDescent="0.25">
      <c r="A126" s="3"/>
      <c r="C126" s="10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</row>
    <row r="127" spans="1:215" s="2" customFormat="1" x14ac:dyDescent="0.25">
      <c r="A127" s="3"/>
      <c r="C127" s="10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</row>
    <row r="128" spans="1:215" s="2" customFormat="1" x14ac:dyDescent="0.25">
      <c r="A128" s="3"/>
      <c r="C128" s="10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</row>
    <row r="129" spans="1:215" s="2" customFormat="1" x14ac:dyDescent="0.25">
      <c r="A129" s="3"/>
      <c r="C129" s="10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</row>
    <row r="130" spans="1:215" s="2" customFormat="1" x14ac:dyDescent="0.25">
      <c r="A130" s="3"/>
      <c r="C130" s="10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</row>
    <row r="131" spans="1:215" s="2" customFormat="1" x14ac:dyDescent="0.25">
      <c r="A131" s="3"/>
      <c r="C131" s="10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</row>
    <row r="132" spans="1:215" s="2" customFormat="1" x14ac:dyDescent="0.25">
      <c r="A132" s="3"/>
      <c r="C132" s="10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</row>
    <row r="133" spans="1:215" s="2" customFormat="1" x14ac:dyDescent="0.25">
      <c r="A133" s="3"/>
      <c r="C133" s="10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</row>
    <row r="134" spans="1:215" s="2" customFormat="1" x14ac:dyDescent="0.25">
      <c r="A134" s="3"/>
      <c r="C134" s="10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</row>
    <row r="135" spans="1:215" s="2" customFormat="1" x14ac:dyDescent="0.25">
      <c r="A135" s="3"/>
      <c r="C135" s="10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</row>
    <row r="136" spans="1:215" s="2" customFormat="1" x14ac:dyDescent="0.25">
      <c r="A136" s="3"/>
      <c r="C136" s="10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</row>
    <row r="137" spans="1:215" s="2" customFormat="1" x14ac:dyDescent="0.25">
      <c r="A137" s="3"/>
      <c r="C137" s="10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</row>
    <row r="138" spans="1:215" s="2" customFormat="1" x14ac:dyDescent="0.25">
      <c r="A138" s="3"/>
      <c r="C138" s="10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</row>
    <row r="139" spans="1:215" s="2" customFormat="1" x14ac:dyDescent="0.25">
      <c r="A139" s="3"/>
      <c r="C139" s="10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</row>
    <row r="140" spans="1:215" s="2" customFormat="1" x14ac:dyDescent="0.25">
      <c r="A140" s="3"/>
      <c r="C140" s="10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</row>
    <row r="141" spans="1:215" s="2" customFormat="1" x14ac:dyDescent="0.25">
      <c r="A141" s="3"/>
      <c r="C141" s="10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</row>
    <row r="142" spans="1:215" s="2" customFormat="1" x14ac:dyDescent="0.25">
      <c r="A142" s="3"/>
      <c r="C142" s="10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</row>
    <row r="143" spans="1:215" s="2" customFormat="1" x14ac:dyDescent="0.25">
      <c r="A143" s="3"/>
      <c r="C143" s="10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</row>
    <row r="144" spans="1:215" s="2" customFormat="1" x14ac:dyDescent="0.25">
      <c r="A144" s="3"/>
      <c r="C144" s="10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</row>
    <row r="145" spans="1:215" s="2" customFormat="1" x14ac:dyDescent="0.25">
      <c r="A145" s="3"/>
      <c r="C145" s="10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</row>
    <row r="146" spans="1:215" s="2" customFormat="1" x14ac:dyDescent="0.25">
      <c r="A146" s="3"/>
      <c r="C146" s="10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</row>
    <row r="147" spans="1:215" s="2" customFormat="1" x14ac:dyDescent="0.25">
      <c r="A147" s="3"/>
      <c r="C147" s="10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</row>
    <row r="148" spans="1:215" s="2" customFormat="1" x14ac:dyDescent="0.25">
      <c r="A148" s="3"/>
      <c r="C148" s="10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</row>
    <row r="149" spans="1:215" s="2" customFormat="1" x14ac:dyDescent="0.25">
      <c r="A149" s="3"/>
      <c r="C149" s="10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</row>
    <row r="150" spans="1:215" s="2" customFormat="1" x14ac:dyDescent="0.25">
      <c r="A150" s="3"/>
      <c r="C150" s="10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</row>
    <row r="151" spans="1:215" s="2" customFormat="1" x14ac:dyDescent="0.25">
      <c r="A151" s="3"/>
      <c r="C151" s="10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</row>
    <row r="152" spans="1:215" s="2" customFormat="1" x14ac:dyDescent="0.25">
      <c r="A152" s="3"/>
      <c r="C152" s="10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</row>
    <row r="153" spans="1:215" s="2" customFormat="1" x14ac:dyDescent="0.25">
      <c r="A153" s="3"/>
      <c r="C153" s="10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</row>
    <row r="154" spans="1:215" s="2" customFormat="1" x14ac:dyDescent="0.25">
      <c r="A154" s="3"/>
      <c r="C154" s="10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</row>
    <row r="155" spans="1:215" s="2" customFormat="1" x14ac:dyDescent="0.25">
      <c r="A155" s="3"/>
      <c r="C155" s="10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</row>
    <row r="156" spans="1:215" s="2" customFormat="1" x14ac:dyDescent="0.25">
      <c r="A156" s="3"/>
      <c r="C156" s="10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</row>
    <row r="157" spans="1:215" s="2" customFormat="1" x14ac:dyDescent="0.25">
      <c r="A157" s="3"/>
      <c r="C157" s="10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</row>
    <row r="158" spans="1:215" s="2" customFormat="1" x14ac:dyDescent="0.25">
      <c r="A158" s="3"/>
      <c r="C158" s="10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</row>
    <row r="159" spans="1:215" s="2" customFormat="1" x14ac:dyDescent="0.25">
      <c r="A159" s="3"/>
      <c r="C159" s="10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2" customFormat="1" x14ac:dyDescent="0.25">
      <c r="A160" s="3"/>
      <c r="C160" s="10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215" s="2" customFormat="1" x14ac:dyDescent="0.25">
      <c r="A161" s="3"/>
      <c r="C161" s="10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</row>
    <row r="162" spans="1:215" s="2" customFormat="1" x14ac:dyDescent="0.25">
      <c r="A162" s="3"/>
      <c r="C162" s="10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</row>
    <row r="163" spans="1:215" s="2" customFormat="1" x14ac:dyDescent="0.25">
      <c r="A163" s="3"/>
      <c r="C163" s="10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</row>
    <row r="164" spans="1:215" s="2" customFormat="1" x14ac:dyDescent="0.25">
      <c r="A164" s="3"/>
      <c r="C164" s="10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</row>
    <row r="165" spans="1:215" s="2" customFormat="1" x14ac:dyDescent="0.25">
      <c r="A165" s="3"/>
      <c r="C165" s="10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</row>
    <row r="166" spans="1:215" s="2" customFormat="1" x14ac:dyDescent="0.25">
      <c r="A166" s="3"/>
      <c r="C166" s="10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</row>
    <row r="167" spans="1:215" s="2" customFormat="1" x14ac:dyDescent="0.25">
      <c r="A167" s="3"/>
      <c r="C167" s="10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</row>
    <row r="168" spans="1:215" s="2" customFormat="1" x14ac:dyDescent="0.25">
      <c r="A168" s="3"/>
      <c r="C168" s="10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</row>
    <row r="169" spans="1:215" s="2" customFormat="1" x14ac:dyDescent="0.25">
      <c r="A169" s="3"/>
      <c r="C169" s="10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</row>
    <row r="170" spans="1:215" s="2" customFormat="1" x14ac:dyDescent="0.25">
      <c r="A170" s="3"/>
      <c r="C170" s="10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</row>
    <row r="171" spans="1:215" s="2" customFormat="1" x14ac:dyDescent="0.25">
      <c r="A171" s="3"/>
      <c r="C171" s="10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</row>
    <row r="172" spans="1:215" s="2" customFormat="1" x14ac:dyDescent="0.25">
      <c r="A172" s="3"/>
      <c r="C172" s="10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</row>
    <row r="173" spans="1:215" s="2" customFormat="1" x14ac:dyDescent="0.25">
      <c r="A173" s="3"/>
      <c r="C173" s="10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</row>
    <row r="174" spans="1:215" s="2" customFormat="1" x14ac:dyDescent="0.25">
      <c r="A174" s="3"/>
      <c r="C174" s="10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</row>
    <row r="175" spans="1:215" s="2" customFormat="1" x14ac:dyDescent="0.25">
      <c r="A175" s="3"/>
      <c r="C175" s="10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</row>
    <row r="176" spans="1:215" s="2" customFormat="1" x14ac:dyDescent="0.25">
      <c r="A176" s="3"/>
      <c r="C176" s="10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</row>
    <row r="177" spans="1:215" s="2" customFormat="1" x14ac:dyDescent="0.25">
      <c r="A177" s="3"/>
      <c r="C177" s="10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</row>
    <row r="178" spans="1:215" s="2" customFormat="1" x14ac:dyDescent="0.25">
      <c r="A178" s="3"/>
      <c r="C178" s="10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</row>
    <row r="179" spans="1:215" s="2" customFormat="1" x14ac:dyDescent="0.25">
      <c r="A179" s="3"/>
      <c r="C179" s="10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</row>
    <row r="180" spans="1:215" s="2" customFormat="1" x14ac:dyDescent="0.25">
      <c r="A180" s="3"/>
      <c r="C180" s="10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</row>
    <row r="181" spans="1:215" x14ac:dyDescent="0.25">
      <c r="D181" s="2"/>
      <c r="E181" s="2"/>
    </row>
    <row r="182" spans="1:215" x14ac:dyDescent="0.25">
      <c r="D182" s="2"/>
      <c r="E182" s="2"/>
    </row>
    <row r="183" spans="1:215" x14ac:dyDescent="0.25">
      <c r="D183" s="2"/>
      <c r="E183" s="2"/>
    </row>
    <row r="184" spans="1:215" x14ac:dyDescent="0.25">
      <c r="D184" s="2"/>
      <c r="E184" s="2"/>
    </row>
    <row r="185" spans="1:215" x14ac:dyDescent="0.25">
      <c r="D185" s="2"/>
      <c r="E185" s="2"/>
    </row>
    <row r="186" spans="1:215" x14ac:dyDescent="0.25">
      <c r="D186" s="2"/>
      <c r="E186" s="2"/>
    </row>
    <row r="187" spans="1:215" x14ac:dyDescent="0.25">
      <c r="D187" s="2"/>
      <c r="E187" s="2"/>
    </row>
    <row r="188" spans="1:215" x14ac:dyDescent="0.25">
      <c r="D188" s="2"/>
      <c r="E188" s="2"/>
    </row>
    <row r="189" spans="1:215" x14ac:dyDescent="0.25">
      <c r="D189" s="2"/>
      <c r="E189" s="2"/>
    </row>
    <row r="190" spans="1:215" x14ac:dyDescent="0.25">
      <c r="D190" s="2"/>
      <c r="E190" s="2"/>
    </row>
    <row r="191" spans="1:215" x14ac:dyDescent="0.25">
      <c r="D191" s="2"/>
      <c r="E191" s="2"/>
    </row>
    <row r="192" spans="1:21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67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ПРОГНОЗ КБ 2023г.</vt:lpstr>
      <vt:lpstr>ПРОГНОЗ КБ 2023г.кож.</vt:lpstr>
      <vt:lpstr>'ПРОГНОЗ КБ 2023г.'!Заголовки_для_печати</vt:lpstr>
      <vt:lpstr>'ПРОГНОЗ КБ 2023г.кож.'!Заголовки_для_печати</vt:lpstr>
      <vt:lpstr>'ПРОГНОЗ КБ 2023г.'!Область_печати</vt:lpstr>
      <vt:lpstr>'ПРОГНОЗ КБ 2023г.кож.'!Область_печати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Acer</cp:lastModifiedBy>
  <cp:lastPrinted>2019-11-15T05:48:37Z</cp:lastPrinted>
  <dcterms:created xsi:type="dcterms:W3CDTF">2018-10-31T11:14:18Z</dcterms:created>
  <dcterms:modified xsi:type="dcterms:W3CDTF">2023-11-14T19:24:53Z</dcterms:modified>
</cp:coreProperties>
</file>